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autoCompressPictures="0"/>
  <mc:AlternateContent xmlns:mc="http://schemas.openxmlformats.org/markup-compatibility/2006">
    <mc:Choice Requires="x15">
      <x15ac:absPath xmlns:x15ac="http://schemas.microsoft.com/office/spreadsheetml/2010/11/ac" url="C:\Users\victo\Desktop\"/>
    </mc:Choice>
  </mc:AlternateContent>
  <xr:revisionPtr revIDLastSave="0" documentId="13_ncr:1_{CBAD3E58-A949-40BC-A2DE-8AD56F9AB3D0}"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08" yWindow="-108" windowWidth="23256" windowHeight="13176"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5" l="1"/>
  <c r="B8" i="5" l="1"/>
  <c r="B9" i="5"/>
  <c r="B10" i="5"/>
  <c r="B11" i="5"/>
  <c r="B12" i="5"/>
  <c r="B13" i="5"/>
  <c r="B14" i="5"/>
  <c r="B15" i="5"/>
  <c r="B16" i="5"/>
  <c r="B17" i="5"/>
  <c r="B18" i="5"/>
  <c r="C20" i="5" l="1"/>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AB2413" i="5" s="1"/>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C2075" i="5"/>
  <c r="V2075" i="5" s="1"/>
  <c r="E2075" i="5" s="1"/>
  <c r="X2075" i="5" s="1"/>
  <c r="B2075" i="5"/>
  <c r="S2075" i="5" s="1"/>
  <c r="C2074" i="5"/>
  <c r="B2074" i="5"/>
  <c r="T2074" i="5" s="1"/>
  <c r="C2073" i="5"/>
  <c r="V2073" i="5" s="1"/>
  <c r="B2073" i="5"/>
  <c r="AB2073" i="5" s="1"/>
  <c r="C2072" i="5"/>
  <c r="V2072" i="5" s="1"/>
  <c r="E2072" i="5" s="1"/>
  <c r="X2072" i="5" s="1"/>
  <c r="B2072" i="5"/>
  <c r="C2071" i="5"/>
  <c r="B2071" i="5"/>
  <c r="C2070" i="5"/>
  <c r="B2070" i="5"/>
  <c r="S2070" i="5" s="1"/>
  <c r="C2069" i="5"/>
  <c r="B2069" i="5"/>
  <c r="AB2069" i="5" s="1"/>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C1905" i="5"/>
  <c r="V1905" i="5" s="1"/>
  <c r="I1905" i="5" s="1"/>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C1814" i="5"/>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C1773" i="5"/>
  <c r="V1773" i="5" s="1"/>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C1690" i="5"/>
  <c r="B1690" i="5"/>
  <c r="C1689" i="5"/>
  <c r="V1689" i="5" s="1"/>
  <c r="I1689" i="5" s="1"/>
  <c r="B1689" i="5"/>
  <c r="T1689" i="5" s="1"/>
  <c r="C1688" i="5"/>
  <c r="B1688" i="5"/>
  <c r="T1688" i="5" s="1"/>
  <c r="C1687" i="5"/>
  <c r="B1687" i="5"/>
  <c r="C1686" i="5"/>
  <c r="B1686" i="5"/>
  <c r="C1685" i="5"/>
  <c r="V1685" i="5" s="1"/>
  <c r="E1685" i="5" s="1"/>
  <c r="X1685" i="5" s="1"/>
  <c r="B1685" i="5"/>
  <c r="T1685" i="5" s="1"/>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T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C1479" i="5"/>
  <c r="V1479" i="5" s="1"/>
  <c r="I1479" i="5" s="1"/>
  <c r="B1479" i="5"/>
  <c r="S1479" i="5" s="1"/>
  <c r="C1478" i="5"/>
  <c r="V1478" i="5" s="1"/>
  <c r="H1478" i="5" s="1"/>
  <c r="B1478"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C1422" i="5"/>
  <c r="V1422" i="5" s="1"/>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S1398"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AB858" i="5" s="1"/>
  <c r="B858" i="5"/>
  <c r="T858" i="5" s="1"/>
  <c r="C857" i="5"/>
  <c r="V857" i="5" s="1"/>
  <c r="J857" i="5" s="1"/>
  <c r="B857" i="5"/>
  <c r="C856" i="5"/>
  <c r="B856" i="5"/>
  <c r="T856" i="5" s="1"/>
  <c r="C855" i="5"/>
  <c r="V855" i="5" s="1"/>
  <c r="J855" i="5" s="1"/>
  <c r="B855" i="5"/>
  <c r="T855" i="5" s="1"/>
  <c r="C854" i="5"/>
  <c r="B854"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C645" i="5"/>
  <c r="B645" i="5"/>
  <c r="S645" i="5" s="1"/>
  <c r="C644" i="5"/>
  <c r="B644" i="5"/>
  <c r="T644" i="5" s="1"/>
  <c r="C643" i="5"/>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C453" i="5"/>
  <c r="V453" i="5" s="1"/>
  <c r="B453" i="5"/>
  <c r="T453" i="5" s="1"/>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C414" i="5"/>
  <c r="B414" i="5"/>
  <c r="T414" i="5" s="1"/>
  <c r="C413" i="5"/>
  <c r="V413" i="5" s="1"/>
  <c r="F413" i="5" s="1"/>
  <c r="B413" i="5"/>
  <c r="T413" i="5" s="1"/>
  <c r="C412" i="5"/>
  <c r="V412" i="5" s="1"/>
  <c r="F412" i="5" s="1"/>
  <c r="B412" i="5"/>
  <c r="C411" i="5"/>
  <c r="B411" i="5"/>
  <c r="T411" i="5" s="1"/>
  <c r="C410" i="5"/>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C387" i="5"/>
  <c r="V387" i="5" s="1"/>
  <c r="I387" i="5" s="1"/>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C313" i="5"/>
  <c r="V313" i="5" s="1"/>
  <c r="R313" i="5" s="1"/>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C226" i="5"/>
  <c r="V226" i="5" s="1"/>
  <c r="B226" i="5"/>
  <c r="T226" i="5" s="1"/>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T76" i="5"/>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C64" i="5"/>
  <c r="V64" i="5" s="1"/>
  <c r="R64" i="5" s="1"/>
  <c r="B64" i="5"/>
  <c r="T64" i="5" s="1"/>
  <c r="C63" i="5"/>
  <c r="V63" i="5" s="1"/>
  <c r="B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C41" i="5"/>
  <c r="V41" i="5" s="1"/>
  <c r="B41" i="5"/>
  <c r="T41" i="5" s="1"/>
  <c r="C40" i="5"/>
  <c r="V40" i="5" s="1"/>
  <c r="R40" i="5" s="1"/>
  <c r="B40" i="5"/>
  <c r="T40" i="5" s="1"/>
  <c r="C39" i="5"/>
  <c r="V39" i="5" s="1"/>
  <c r="H39" i="5" s="1"/>
  <c r="B39" i="5"/>
  <c r="C38" i="5"/>
  <c r="V38" i="5" s="1"/>
  <c r="H38" i="5" s="1"/>
  <c r="B38" i="5"/>
  <c r="S38" i="5" s="1"/>
  <c r="C37" i="5"/>
  <c r="V37" i="5" s="1"/>
  <c r="R37" i="5" s="1"/>
  <c r="B37" i="5"/>
  <c r="T37" i="5" s="1"/>
  <c r="C36" i="5"/>
  <c r="V36" i="5" s="1"/>
  <c r="R36" i="5" s="1"/>
  <c r="B36" i="5"/>
  <c r="T36" i="5" s="1"/>
  <c r="C35" i="5"/>
  <c r="V35" i="5" s="1"/>
  <c r="B35" i="5"/>
  <c r="C34" i="5"/>
  <c r="V34" i="5" s="1"/>
  <c r="R34" i="5" s="1"/>
  <c r="B34" i="5"/>
  <c r="S34" i="5" s="1"/>
  <c r="C33" i="5"/>
  <c r="V33" i="5" s="1"/>
  <c r="R33" i="5" s="1"/>
  <c r="B33" i="5"/>
  <c r="T33" i="5" s="1"/>
  <c r="C32" i="5"/>
  <c r="V32" i="5" s="1"/>
  <c r="R32" i="5" s="1"/>
  <c r="B32" i="5"/>
  <c r="C31" i="5"/>
  <c r="V31" i="5" s="1"/>
  <c r="B31" i="5"/>
  <c r="C30" i="5"/>
  <c r="V30" i="5" s="1"/>
  <c r="I30" i="5" s="1"/>
  <c r="B30" i="5"/>
  <c r="C29" i="5"/>
  <c r="V29" i="5" s="1"/>
  <c r="H29" i="5" s="1"/>
  <c r="B29" i="5"/>
  <c r="C28" i="5"/>
  <c r="V28" i="5" s="1"/>
  <c r="E28" i="5" s="1"/>
  <c r="B28" i="5"/>
  <c r="T28" i="5" s="1"/>
  <c r="C27" i="5"/>
  <c r="V27" i="5" s="1"/>
  <c r="B27" i="5"/>
  <c r="C26" i="5"/>
  <c r="V26" i="5" s="1"/>
  <c r="I26" i="5" s="1"/>
  <c r="B26" i="5"/>
  <c r="T26" i="5" s="1"/>
  <c r="C25" i="5"/>
  <c r="V25" i="5" s="1"/>
  <c r="B25" i="5"/>
  <c r="C24" i="5"/>
  <c r="V24" i="5" s="1"/>
  <c r="R24" i="5" s="1"/>
  <c r="B24" i="5"/>
  <c r="C23" i="5"/>
  <c r="V23" i="5" s="1"/>
  <c r="H23" i="5" s="1"/>
  <c r="B23" i="5"/>
  <c r="C22" i="5"/>
  <c r="V22" i="5" s="1"/>
  <c r="I22" i="5" s="1"/>
  <c r="B22" i="5"/>
  <c r="S22" i="5" s="1"/>
  <c r="C21" i="5"/>
  <c r="V21" i="5" s="1"/>
  <c r="B21" i="5"/>
  <c r="V20" i="5"/>
  <c r="R20" i="5" s="1"/>
  <c r="B20" i="5"/>
  <c r="T20" i="5" s="1"/>
  <c r="C19" i="5"/>
  <c r="V19" i="5" s="1"/>
  <c r="B19" i="5"/>
  <c r="T19" i="5" s="1"/>
  <c r="AB18" i="5"/>
  <c r="V18" i="5"/>
  <c r="I18" i="5" s="1"/>
  <c r="V6" i="5"/>
  <c r="R6" i="5" s="1"/>
  <c r="AB6" i="5"/>
  <c r="V5"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T190" i="5" l="1"/>
  <c r="AB410" i="5"/>
  <c r="R480" i="5"/>
  <c r="AB594" i="5"/>
  <c r="T645" i="5"/>
  <c r="S778" i="5"/>
  <c r="S853" i="5"/>
  <c r="AB1022" i="5"/>
  <c r="T1435" i="5"/>
  <c r="S1477" i="5"/>
  <c r="S2015" i="5"/>
  <c r="S2038" i="5"/>
  <c r="T2163" i="5"/>
  <c r="S414" i="5"/>
  <c r="AB579" i="5"/>
  <c r="T684" i="5"/>
  <c r="AB1401" i="5"/>
  <c r="T1519" i="5"/>
  <c r="T1684" i="5"/>
  <c r="S1770" i="5"/>
  <c r="T1781" i="5"/>
  <c r="S2140" i="5"/>
  <c r="T2317" i="5"/>
  <c r="S120" i="5"/>
  <c r="T250" i="5"/>
  <c r="AB643" i="5"/>
  <c r="S858" i="5"/>
  <c r="AB902" i="5"/>
  <c r="AB1071" i="5"/>
  <c r="T1098" i="5"/>
  <c r="AB1814" i="5"/>
  <c r="S1596" i="5"/>
  <c r="T1814" i="5"/>
  <c r="AB299" i="5"/>
  <c r="T788" i="5"/>
  <c r="S1000" i="5"/>
  <c r="AB1115" i="5"/>
  <c r="AB1293" i="5"/>
  <c r="AB1353" i="5"/>
  <c r="E1479" i="5"/>
  <c r="X1479" i="5" s="1"/>
  <c r="AB1624" i="5"/>
  <c r="T2060" i="5"/>
  <c r="T2248" i="5"/>
  <c r="AB2465" i="5"/>
  <c r="AB841" i="5"/>
  <c r="S903" i="5"/>
  <c r="T1407" i="5"/>
  <c r="S1465" i="5"/>
  <c r="S1491" i="5"/>
  <c r="T1624" i="5"/>
  <c r="T1675" i="5"/>
  <c r="AB1691" i="5"/>
  <c r="AB1731" i="5"/>
  <c r="AB1757" i="5"/>
  <c r="S2068" i="5"/>
  <c r="AB2088" i="5"/>
  <c r="T44" i="5"/>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S28" i="5"/>
  <c r="I38"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S64"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G32"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G64"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E26" i="5"/>
  <c r="X26" i="5" s="1"/>
  <c r="I59" i="5"/>
  <c r="E63" i="5"/>
  <c r="X63" i="5" s="1"/>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R22" i="5"/>
  <c r="G38" i="5"/>
  <c r="S40" i="5"/>
  <c r="G55" i="5"/>
  <c r="G58" i="5"/>
  <c r="J59" i="5"/>
  <c r="F63"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S26" i="5"/>
  <c r="R59" i="5"/>
  <c r="G63"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S20" i="5"/>
  <c r="G48" i="5"/>
  <c r="G74" i="5"/>
  <c r="G86" i="5"/>
  <c r="J107" i="5"/>
  <c r="S178" i="5"/>
  <c r="AB178" i="5"/>
  <c r="T178" i="5"/>
  <c r="V215" i="5"/>
  <c r="G215" i="5" s="1"/>
  <c r="R299" i="5"/>
  <c r="J299" i="5"/>
  <c r="T312" i="5"/>
  <c r="S312" i="5"/>
  <c r="T379" i="5"/>
  <c r="S379" i="5"/>
  <c r="E392" i="5"/>
  <c r="X392" i="5" s="1"/>
  <c r="I392" i="5"/>
  <c r="H392" i="5"/>
  <c r="E62" i="5"/>
  <c r="X62" i="5" s="1"/>
  <c r="S110" i="5"/>
  <c r="AB110" i="5"/>
  <c r="R3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G808" i="5" s="1"/>
  <c r="AB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X249" i="5" s="1"/>
  <c r="F249" i="5"/>
  <c r="J29" i="5"/>
  <c r="I37" i="5"/>
  <c r="R39" i="5"/>
  <c r="I53" i="5"/>
  <c r="R55"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34" i="5"/>
  <c r="X34" i="5" s="1"/>
  <c r="G36" i="5"/>
  <c r="R42" i="5"/>
  <c r="H46" i="5"/>
  <c r="H62" i="5"/>
  <c r="G35" i="5"/>
  <c r="E45" i="5"/>
  <c r="X45" i="5" s="1"/>
  <c r="J47" i="5"/>
  <c r="G50" i="5"/>
  <c r="G51" i="5"/>
  <c r="S52" i="5"/>
  <c r="E55" i="5"/>
  <c r="X55" i="5" s="1"/>
  <c r="I62" i="5"/>
  <c r="J63" i="5"/>
  <c r="G66" i="5"/>
  <c r="G67" i="5"/>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E23" i="5"/>
  <c r="X23" i="5" s="1"/>
  <c r="G24" i="5"/>
  <c r="J25" i="5"/>
  <c r="AB26" i="5"/>
  <c r="G31" i="5"/>
  <c r="G34" i="5"/>
  <c r="S36" i="5"/>
  <c r="E39" i="5"/>
  <c r="X39" i="5" s="1"/>
  <c r="I46" i="5"/>
  <c r="AB22" i="5"/>
  <c r="F23" i="5"/>
  <c r="I24" i="5"/>
  <c r="R25" i="5"/>
  <c r="G30" i="5"/>
  <c r="H34" i="5"/>
  <c r="E38" i="5"/>
  <c r="X38" i="5" s="1"/>
  <c r="F39" i="5"/>
  <c r="G40" i="5"/>
  <c r="I45" i="5"/>
  <c r="R47" i="5"/>
  <c r="H50" i="5"/>
  <c r="E54" i="5"/>
  <c r="X54" i="5" s="1"/>
  <c r="F55" i="5"/>
  <c r="G56" i="5"/>
  <c r="R63" i="5"/>
  <c r="H66" i="5"/>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G23" i="5"/>
  <c r="E33" i="5"/>
  <c r="X33" i="5" s="1"/>
  <c r="I34" i="5"/>
  <c r="G39" i="5"/>
  <c r="E49" i="5"/>
  <c r="X49" i="5" s="1"/>
  <c r="I50" i="5"/>
  <c r="E65" i="5"/>
  <c r="X65" i="5" s="1"/>
  <c r="I66" i="5"/>
  <c r="S72" i="5"/>
  <c r="E81" i="5"/>
  <c r="X81" i="5" s="1"/>
  <c r="I82" i="5"/>
  <c r="S88" i="5"/>
  <c r="G22" i="5"/>
  <c r="I23" i="5"/>
  <c r="S30" i="5"/>
  <c r="I33" i="5"/>
  <c r="I39" i="5"/>
  <c r="G44" i="5"/>
  <c r="I49" i="5"/>
  <c r="I55" i="5"/>
  <c r="F59" i="5"/>
  <c r="G60" i="5"/>
  <c r="I65"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3" i="5"/>
  <c r="AB32" i="5"/>
  <c r="E37" i="5"/>
  <c r="X37" i="5" s="1"/>
  <c r="J39" i="5"/>
  <c r="E53" i="5"/>
  <c r="X53" i="5" s="1"/>
  <c r="J55"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F1154" i="5"/>
  <c r="J1154" i="5"/>
  <c r="AB1181" i="5"/>
  <c r="V1181" i="5"/>
  <c r="G1181" i="5" s="1"/>
  <c r="AB1189" i="5"/>
  <c r="S1201" i="5"/>
  <c r="AB1201" i="5"/>
  <c r="R1213" i="5"/>
  <c r="H1213" i="5"/>
  <c r="F1213" i="5"/>
  <c r="E1213" i="5"/>
  <c r="X1213" i="5" s="1"/>
  <c r="J1213" i="5"/>
  <c r="S1221" i="5"/>
  <c r="AB1221" i="5"/>
  <c r="T1221" i="5"/>
  <c r="V1224" i="5"/>
  <c r="E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V1123" i="5"/>
  <c r="G1123" i="5" s="1"/>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G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S18" i="5" s="1"/>
  <c r="G6" i="5"/>
  <c r="F19" i="6"/>
  <c r="X341" i="5"/>
  <c r="X412" i="5"/>
  <c r="X304" i="5"/>
  <c r="AB23" i="5"/>
  <c r="S23" i="5"/>
  <c r="X28"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I19" i="5"/>
  <c r="E20" i="5"/>
  <c r="X20" i="5" s="1"/>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F18" i="5"/>
  <c r="J18" i="5"/>
  <c r="T18" i="5" s="1"/>
  <c r="G20" i="5"/>
  <c r="S21" i="5"/>
  <c r="AB21" i="5"/>
  <c r="T21" i="5"/>
  <c r="S24" i="5"/>
  <c r="F26" i="5"/>
  <c r="J26" i="5"/>
  <c r="G28" i="5"/>
  <c r="S29" i="5"/>
  <c r="AB29" i="5"/>
  <c r="T29" i="5"/>
  <c r="S32" i="5"/>
  <c r="G33" i="5"/>
  <c r="AB35" i="5"/>
  <c r="S35" i="5"/>
  <c r="T35" i="5"/>
  <c r="G37" i="5"/>
  <c r="AB39" i="5"/>
  <c r="S39" i="5"/>
  <c r="T39" i="5"/>
  <c r="G41" i="5"/>
  <c r="AB43" i="5"/>
  <c r="S43" i="5"/>
  <c r="T43" i="5"/>
  <c r="G45" i="5"/>
  <c r="AB47" i="5"/>
  <c r="S47" i="5"/>
  <c r="T47" i="5"/>
  <c r="G49" i="5"/>
  <c r="AB51" i="5"/>
  <c r="S51" i="5"/>
  <c r="T51" i="5"/>
  <c r="G53" i="5"/>
  <c r="AB55" i="5"/>
  <c r="S55" i="5"/>
  <c r="T55" i="5"/>
  <c r="G57" i="5"/>
  <c r="AB59" i="5"/>
  <c r="S59" i="5"/>
  <c r="T59" i="5"/>
  <c r="G61" i="5"/>
  <c r="AB63" i="5"/>
  <c r="S63" i="5"/>
  <c r="T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T23" i="5"/>
  <c r="T32"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T24" i="5"/>
  <c r="H28" i="5"/>
  <c r="S109" i="5"/>
  <c r="AB109" i="5"/>
  <c r="E117" i="5"/>
  <c r="X117" i="5" s="1"/>
  <c r="J121" i="5"/>
  <c r="I121" i="5"/>
  <c r="H121" i="5"/>
  <c r="S141" i="5"/>
  <c r="AB141" i="5"/>
  <c r="H146" i="5"/>
  <c r="F150" i="5"/>
  <c r="R150" i="5"/>
  <c r="J150" i="5"/>
  <c r="AB19" i="5"/>
  <c r="S19" i="5"/>
  <c r="E21" i="5"/>
  <c r="X21" i="5" s="1"/>
  <c r="AB27" i="5"/>
  <c r="S27" i="5"/>
  <c r="T27" i="5"/>
  <c r="E29" i="5"/>
  <c r="X29" i="5" s="1"/>
  <c r="F5" i="5"/>
  <c r="H18" i="5"/>
  <c r="F21" i="5"/>
  <c r="T22" i="5"/>
  <c r="E24" i="5"/>
  <c r="X24" i="5" s="1"/>
  <c r="H26" i="5"/>
  <c r="R28" i="5"/>
  <c r="F29" i="5"/>
  <c r="T30" i="5"/>
  <c r="E32" i="5"/>
  <c r="X32" i="5" s="1"/>
  <c r="AB36"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20" i="5"/>
  <c r="F20" i="5"/>
  <c r="AB31" i="5"/>
  <c r="S31" i="5"/>
  <c r="G5" i="5"/>
  <c r="F22" i="5"/>
  <c r="J22" i="5"/>
  <c r="S25" i="5"/>
  <c r="AB25" i="5"/>
  <c r="T25" i="5"/>
  <c r="G29" i="5"/>
  <c r="J33" i="5"/>
  <c r="H33" i="5"/>
  <c r="S37" i="5"/>
  <c r="AB37" i="5"/>
  <c r="J40" i="5"/>
  <c r="H40" i="5"/>
  <c r="F40" i="5"/>
  <c r="J41" i="5"/>
  <c r="H41" i="5"/>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T31" i="5"/>
  <c r="F6" i="5"/>
  <c r="G21" i="5"/>
  <c r="F30" i="5"/>
  <c r="J30" i="5"/>
  <c r="S33" i="5"/>
  <c r="AB33" i="5"/>
  <c r="J36" i="5"/>
  <c r="H36" i="5"/>
  <c r="F36" i="5"/>
  <c r="J37" i="5"/>
  <c r="H37" i="5"/>
  <c r="S41" i="5"/>
  <c r="AB41" i="5"/>
  <c r="J44" i="5"/>
  <c r="H44" i="5"/>
  <c r="F44" i="5"/>
  <c r="J45" i="5"/>
  <c r="H45" i="5"/>
  <c r="S49" i="5"/>
  <c r="AB49" i="5"/>
  <c r="J52" i="5"/>
  <c r="H52" i="5"/>
  <c r="F52" i="5"/>
  <c r="J56" i="5"/>
  <c r="H56" i="5"/>
  <c r="F56" i="5"/>
  <c r="J60" i="5"/>
  <c r="H60" i="5"/>
  <c r="F60" i="5"/>
  <c r="J61" i="5"/>
  <c r="H61" i="5"/>
  <c r="J64" i="5"/>
  <c r="H64" i="5"/>
  <c r="F64"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E6" i="5"/>
  <c r="R18" i="5"/>
  <c r="F19" i="5"/>
  <c r="I21" i="5"/>
  <c r="E22" i="5"/>
  <c r="X22" i="5" s="1"/>
  <c r="R23" i="5"/>
  <c r="H24" i="5"/>
  <c r="R26" i="5"/>
  <c r="F27" i="5"/>
  <c r="I29" i="5"/>
  <c r="E30" i="5"/>
  <c r="X30" i="5" s="1"/>
  <c r="R31" i="5"/>
  <c r="H32" i="5"/>
  <c r="T34" i="5"/>
  <c r="E36" i="5"/>
  <c r="X36" i="5" s="1"/>
  <c r="T38" i="5"/>
  <c r="E40" i="5"/>
  <c r="X40" i="5" s="1"/>
  <c r="T42" i="5"/>
  <c r="E44" i="5"/>
  <c r="X44" i="5" s="1"/>
  <c r="T46" i="5"/>
  <c r="E48" i="5"/>
  <c r="X48" i="5" s="1"/>
  <c r="T50" i="5"/>
  <c r="E52" i="5"/>
  <c r="X52" i="5" s="1"/>
  <c r="T54" i="5"/>
  <c r="E56" i="5"/>
  <c r="X56" i="5" s="1"/>
  <c r="T58" i="5"/>
  <c r="E60" i="5"/>
  <c r="X60" i="5" s="1"/>
  <c r="T62" i="5"/>
  <c r="E64" i="5"/>
  <c r="X64" i="5" s="1"/>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X424"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X527"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X788"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X1224" i="5"/>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V1314" i="5"/>
  <c r="G1314" i="5" s="1"/>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X1054"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X1154"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6" i="5"/>
  <c r="T5" i="5"/>
  <c r="C10" i="6" l="1"/>
  <c r="C8" i="6"/>
  <c r="C11" i="6"/>
  <c r="C9" i="6"/>
  <c r="C12" i="6"/>
  <c r="C7" i="6"/>
  <c r="B32"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X18" i="5"/>
  <c r="B52" i="6"/>
  <c r="G52" i="6" s="1"/>
  <c r="B37" i="6"/>
  <c r="G37" i="6" s="1"/>
  <c r="B42" i="6"/>
  <c r="G42" i="6" s="1"/>
  <c r="B40" i="6"/>
  <c r="G40" i="6" s="1"/>
  <c r="B50" i="6"/>
  <c r="G50" i="6" s="1"/>
  <c r="B25" i="6"/>
  <c r="G25" i="6" s="1"/>
  <c r="B35" i="6"/>
  <c r="G35" i="6" s="1"/>
  <c r="C15" i="5"/>
  <c r="C8" i="5"/>
  <c r="C9" i="5"/>
  <c r="C10" i="5"/>
  <c r="C11" i="5"/>
  <c r="C14" i="5"/>
  <c r="C12" i="5"/>
  <c r="C13" i="5"/>
  <c r="C17" i="5"/>
  <c r="C16" i="5"/>
  <c r="X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6" i="5"/>
  <c r="S5" i="5"/>
  <c r="H46" i="6" l="1"/>
  <c r="D46" i="6" s="1"/>
  <c r="H31" i="6"/>
  <c r="C31" i="6" s="1"/>
  <c r="C29" i="6"/>
  <c r="D29" i="6"/>
  <c r="H30" i="6"/>
  <c r="G68" i="6"/>
  <c r="H68" i="6" s="1"/>
  <c r="D68" i="6" s="1"/>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D24" i="6"/>
  <c r="C24" i="6"/>
  <c r="X100" i="5"/>
  <c r="D27" i="6"/>
  <c r="C27" i="6"/>
  <c r="C36" i="6"/>
  <c r="C42" i="6"/>
  <c r="C40" i="6"/>
  <c r="C41" i="6"/>
  <c r="C20" i="6"/>
  <c r="D20" i="6"/>
  <c r="C2" i="6"/>
  <c r="B2" i="6"/>
  <c r="C35"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C46" i="6" l="1"/>
  <c r="C34" i="6"/>
  <c r="D34" i="6"/>
  <c r="D31" i="6"/>
  <c r="C30" i="6"/>
  <c r="D30" i="6"/>
  <c r="C32" i="6"/>
  <c r="D32" i="6"/>
  <c r="R16" i="5"/>
  <c r="I16" i="5"/>
  <c r="H16" i="5"/>
  <c r="E16" i="5"/>
  <c r="J16" i="5"/>
  <c r="F16" i="5"/>
  <c r="E10" i="5"/>
  <c r="I10" i="5"/>
  <c r="F10" i="5"/>
  <c r="R10" i="5"/>
  <c r="J10" i="5"/>
  <c r="H10" i="5"/>
  <c r="H13" i="5"/>
  <c r="R13" i="5"/>
  <c r="J13" i="5"/>
  <c r="E13" i="5"/>
  <c r="I13" i="5"/>
  <c r="F13" i="5"/>
  <c r="E7" i="5"/>
  <c r="R7" i="5"/>
  <c r="F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68" i="6"/>
  <c r="C49" i="6"/>
  <c r="C47" i="6"/>
  <c r="C60" i="6"/>
  <c r="D60" i="6"/>
  <c r="D58" i="6"/>
  <c r="C58" i="6"/>
  <c r="D63" i="6"/>
  <c r="C63" i="6"/>
  <c r="C62" i="6"/>
  <c r="D62" i="6"/>
  <c r="C54" i="6"/>
  <c r="D54" i="6"/>
  <c r="D57" i="6"/>
  <c r="C57" i="6"/>
  <c r="F56" i="6"/>
  <c r="H56" i="6" s="1"/>
  <c r="H55" i="6"/>
  <c r="D59" i="6"/>
  <c r="C59" i="6"/>
  <c r="T10" i="5"/>
  <c r="T12" i="5"/>
  <c r="T9" i="5"/>
  <c r="T17" i="5"/>
  <c r="T16" i="5"/>
  <c r="T14" i="5"/>
  <c r="T8" i="5"/>
  <c r="T15" i="5"/>
  <c r="T13" i="5"/>
  <c r="T11" i="5"/>
  <c r="T7" i="5"/>
  <c r="X13" i="5" l="1"/>
  <c r="X10" i="5"/>
  <c r="D65" i="6"/>
  <c r="X9" i="5"/>
  <c r="X12" i="5"/>
  <c r="X14" i="5"/>
  <c r="X17" i="5"/>
  <c r="S17" i="5"/>
  <c r="D66" i="6"/>
  <c r="C67" i="6"/>
  <c r="X11" i="5"/>
  <c r="X15" i="5"/>
  <c r="X8" i="5"/>
  <c r="X7" i="5"/>
  <c r="G69" i="6"/>
  <c r="H69" i="6" s="1"/>
  <c r="H70" i="6" s="1"/>
  <c r="D2" i="6" s="1"/>
  <c r="X16" i="5"/>
  <c r="S16" i="5"/>
  <c r="D55" i="6"/>
  <c r="C55" i="6"/>
  <c r="D56" i="6"/>
  <c r="C56" i="6"/>
  <c r="S11" i="5"/>
  <c r="S13" i="5"/>
  <c r="S8" i="5"/>
  <c r="S9" i="5"/>
  <c r="S14" i="5"/>
  <c r="S10" i="5"/>
  <c r="S12" i="5"/>
  <c r="S15" i="5"/>
  <c r="S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<sst xmlns="http://schemas.openxmlformats.org/spreadsheetml/2006/main" count="21829" uniqueCount="15525">
  <si>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</si>
  <si>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</si>
  <si>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</si>
  <si>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</si>
  <si>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</si>
  <si>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</si>
  <si>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</si>
  <si>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</si>
  <si>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</si>
  <si>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</si>
  <si>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</si>
  <si>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</si>
  <si>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</si>
  <si>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</si>
  <si>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</si>
  <si>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</si>
  <si>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</si>
  <si>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</si>
  <si>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</si>
  <si>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</si>
  <si>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</si>
  <si>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</si>
  <si>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</si>
  <si>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</si>
  <si>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</si>
  <si>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</si>
  <si>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</si>
  <si>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</si>
  <si>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</si>
  <si>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</si>
  <si>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</si>
  <si>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</si>
  <si>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</si>
  <si>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</si>
  <si>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</si>
  <si>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</si>
  <si>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</si>
  <si>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</si>
  <si>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</si>
  <si>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</si>
  <si>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</si>
  <si>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</si>
  <si>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</si>
  <si>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</si>
  <si>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</si>
  <si>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</si>
  <si>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</si>
  <si>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</si>
  <si>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</si>
  <si>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</si>
  <si>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</si>
  <si>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</si>
  <si>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</si>
  <si>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</si>
  <si>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</si>
  <si>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</si>
  <si>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</si>
  <si>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</si>
  <si>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</si>
  <si>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</si>
  <si>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</si>
  <si>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</si>
  <si>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</si>
  <si>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</si>
  <si>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</si>
  <si>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</si>
  <si>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</si>
  <si>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</si>
  <si>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</si>
  <si>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</si>
  <si>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</si>
  <si>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</si>
  <si>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</si>
  <si>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</si>
  <si>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</si>
  <si>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</si>
  <si>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</si>
  <si>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</si>
  <si>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</si>
  <si>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</si>
  <si>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</si>
  <si>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</si>
  <si>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</si>
  <si>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</si>
  <si>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</si>
  <si>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</si>
  <si>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</si>
  <si>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</si>
  <si>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</si>
  <si>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</si>
  <si>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</si>
  <si>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</si>
  <si>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</si>
  <si>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</si>
  <si>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</si>
  <si>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</si>
  <si>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</si>
  <si>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</si>
  <si>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</si>
  <si>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</si>
  <si>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</si>
  <si>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</si>
  <si>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</si>
  <si>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</si>
  <si>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</si>
  <si>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</si>
  <si>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</si>
  <si>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</si>
  <si>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</si>
  <si>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</si>
  <si>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</si>
  <si>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</si>
  <si>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</si>
  <si>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</si>
  <si>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</si>
  <si>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</si>
  <si>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</si>
  <si>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</si>
  <si>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</si>
  <si>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</si>
  <si>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</si>
  <si>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</si>
  <si>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</si>
  <si>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</si>
  <si>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</si>
  <si>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</si>
  <si>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</si>
  <si>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</si>
  <si>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</si>
  <si>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</si>
  <si>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</si>
  <si>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</si>
  <si>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</si>
  <si>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</si>
  <si>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</si>
  <si>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</si>
  <si>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</si>
  <si>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</si>
  <si>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</si>
  <si>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</si>
  <si>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</si>
  <si>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</si>
  <si>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</si>
  <si>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</si>
  <si>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</si>
  <si>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</si>
  <si>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</si>
  <si>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</si>
  <si>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</si>
  <si>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</si>
  <si>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</si>
  <si>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</si>
  <si>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</si>
  <si>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</si>
  <si>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</si>
  <si>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</si>
  <si>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</si>
  <si>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</si>
  <si>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</si>
  <si>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</si>
  <si>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</si>
  <si>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</si>
  <si>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</si>
  <si>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</si>
  <si>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</si>
  <si>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</si>
  <si>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</si>
  <si>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</si>
  <si>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</si>
  <si>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</si>
  <si>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</si>
  <si>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</si>
  <si>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</si>
  <si>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</si>
  <si>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</si>
  <si>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</si>
  <si>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</si>
  <si>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</si>
  <si>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</si>
  <si>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</si>
  <si>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</si>
  <si>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</si>
  <si>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</si>
  <si>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</si>
  <si>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</si>
  <si>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</si>
  <si>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</si>
  <si>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</si>
  <si>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</si>
  <si>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</si>
  <si>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</si>
  <si>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</si>
  <si>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</si>
  <si>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</si>
  <si>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</si>
  <si>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</si>
  <si>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</si>
  <si>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</si>
  <si>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</si>
  <si>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</si>
  <si>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</si>
  <si>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</si>
  <si>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</si>
  <si>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</si>
  <si>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</si>
  <si>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</si>
  <si>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</si>
  <si>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</si>
  <si>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</si>
  <si>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</si>
  <si>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</si>
  <si>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</si>
  <si>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</si>
  <si>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</si>
  <si>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</si>
  <si>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</si>
  <si>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</si>
  <si>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</si>
  <si>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</si>
  <si>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</si>
  <si>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</si>
  <si>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</si>
  <si>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</si>
  <si>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</si>
  <si>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</si>
  <si>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</si>
  <si>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</si>
  <si>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</si>
  <si>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</si>
  <si>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</si>
  <si>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</si>
  <si>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</si>
  <si>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</si>
  <si>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</si>
  <si>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</si>
  <si>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</si>
  <si>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</si>
  <si>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</si>
  <si>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</si>
  <si>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</si>
  <si>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</si>
  <si>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</si>
  <si>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</si>
  <si>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</si>
  <si>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</si>
  <si>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</si>
  <si>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</si>
  <si>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</si>
  <si>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</si>
  <si>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</si>
  <si>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</si>
  <si>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</si>
  <si>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</si>
  <si>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</si>
  <si>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</si>
  <si>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</si>
  <si>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</si>
  <si>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</si>
  <si>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</si>
  <si>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</si>
  <si>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</si>
  <si>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</si>
  <si>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</si>
  <si>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</si>
  <si>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</si>
  <si>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</si>
  <si>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</si>
  <si>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</si>
  <si>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</si>
  <si>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</si>
  <si>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</si>
  <si>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</si>
  <si>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</si>
  <si>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</si>
  <si>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</si>
  <si>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</si>
  <si>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</si>
  <si>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</si>
  <si>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</si>
  <si>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</si>
  <si>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</si>
  <si>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</si>
  <si>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</si>
  <si>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</si>
  <si>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</si>
  <si>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</si>
  <si>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</si>
  <si>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</si>
  <si>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</si>
  <si>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</si>
  <si>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</si>
  <si>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</si>
  <si>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</si>
  <si>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</si>
  <si>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</si>
  <si>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</si>
  <si>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</si>
  <si>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</si>
  <si>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</si>
  <si>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</si>
  <si>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</si>
  <si>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</si>
  <si>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</si>
  <si>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</si>
  <si>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</si>
  <si>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</si>
  <si>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</si>
  <si>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</si>
  <si>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</si>
  <si>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</si>
  <si>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</si>
  <si>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</si>
  <si>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</si>
  <si>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</si>
  <si>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</si>
  <si>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</si>
  <si>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</si>
  <si>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</si>
  <si>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</si>
  <si>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</si>
  <si>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</si>
  <si>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</si>
  <si>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</si>
  <si>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</si>
  <si>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</si>
  <si>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</si>
  <si>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</si>
  <si>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</si>
  <si>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</si>
  <si>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</si>
  <si>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</si>
  <si>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</si>
  <si>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</si>
  <si>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</si>
  <si>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</si>
  <si>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</si>
  <si>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</si>
  <si>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</si>
  <si>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</si>
  <si>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</si>
  <si>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</si>
  <si>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</si>
  <si>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</si>
  <si>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</si>
  <si>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</si>
  <si>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</si>
  <si>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</si>
  <si>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</si>
  <si>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</si>
  <si>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</si>
  <si>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</si>
  <si>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</si>
  <si>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</si>
  <si>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</si>
  <si>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</si>
  <si>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</si>
  <si>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</si>
  <si>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</si>
  <si>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</si>
  <si>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</si>
  <si>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</si>
  <si>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</si>
  <si>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</si>
  <si>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</si>
  <si>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</si>
  <si>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</si>
  <si>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</si>
  <si>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</si>
  <si>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</si>
  <si>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</si>
  <si>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</si>
  <si>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</si>
  <si>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</si>
  <si>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</si>
  <si>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</si>
  <si>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</si>
  <si>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</si>
  <si>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</si>
  <si>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</si>
  <si>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</si>
  <si>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</si>
  <si>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</si>
  <si>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</si>
  <si>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</si>
  <si>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</si>
  <si>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</si>
  <si>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</si>
  <si>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</si>
  <si>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</si>
  <si>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</si>
  <si>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</si>
  <si>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</si>
  <si>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</si>
  <si>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</si>
  <si>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</si>
  <si>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</si>
  <si>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</si>
  <si>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</si>
  <si>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</si>
  <si>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</si>
  <si>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</si>
  <si>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</si>
  <si>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</si>
  <si>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</si>
  <si>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</si>
  <si>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</si>
  <si>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</si>
  <si>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</si>
  <si>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</si>
  <si>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</si>
  <si>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</si>
  <si>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</si>
  <si>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</si>
  <si>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</si>
  <si>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</si>
  <si>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</si>
  <si>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</si>
  <si>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</si>
  <si>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</si>
  <si>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</si>
  <si>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</si>
  <si>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</si>
  <si>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</si>
  <si>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</si>
  <si>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</si>
  <si>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</si>
  <si>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</si>
  <si>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</si>
  <si>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</si>
  <si>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</si>
  <si>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</si>
  <si>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</si>
  <si>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</si>
  <si>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</si>
  <si>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</si>
  <si>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</si>
  <si>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</si>
  <si>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</si>
  <si>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</si>
  <si>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</si>
  <si>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</si>
  <si>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</si>
  <si>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</si>
  <si>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</si>
  <si>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</si>
  <si>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</si>
  <si>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</si>
  <si>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</si>
  <si>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</si>
  <si>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</si>
  <si>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</si>
  <si>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</si>
  <si>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</si>
  <si>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</si>
  <si>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</si>
  <si>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</si>
  <si>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</si>
  <si>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</si>
  <si>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</si>
  <si>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</si>
  <si>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</si>
  <si>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</si>
  <si>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</si>
  <si>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</si>
  <si>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</si>
  <si>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</si>
  <si>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</si>
  <si>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</si>
  <si>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</si>
  <si>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</si>
  <si>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</si>
  <si>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</si>
  <si>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</si>
  <si>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</si>
  <si>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</si>
  <si>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</si>
  <si>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</si>
  <si>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</si>
  <si>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</si>
  <si>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</si>
  <si>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</si>
  <si>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</si>
  <si>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</si>
  <si>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</si>
  <si>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</si>
  <si>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</si>
  <si>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</si>
  <si>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</si>
  <si>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</si>
  <si>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</si>
  <si>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</si>
  <si>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</si>
  <si>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</si>
  <si>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</si>
  <si>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</si>
  <si>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</si>
  <si>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</si>
  <si>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</si>
  <si>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</si>
  <si>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</si>
  <si>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</si>
  <si>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</si>
  <si>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</si>
  <si>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</si>
  <si>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</si>
  <si>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</si>
  <si>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</si>
  <si>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</si>
  <si>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</si>
  <si>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</si>
  <si>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</si>
  <si>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</si>
  <si>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</si>
  <si>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</si>
  <si>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</si>
  <si>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</si>
  <si>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</si>
  <si>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</si>
  <si>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</si>
  <si>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</si>
  <si>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</si>
  <si>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</si>
  <si>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</si>
  <si>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</si>
  <si>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</si>
  <si>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</si>
  <si>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</si>
  <si>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</si>
  <si>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</si>
  <si>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</si>
  <si>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</si>
  <si>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</si>
  <si>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</si>
  <si>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</si>
  <si>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</si>
  <si>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</si>
  <si>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</si>
  <si>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</si>
  <si>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</si>
  <si>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</si>
  <si>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</si>
  <si>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</si>
  <si>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</si>
  <si>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</si>
  <si>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</si>
  <si>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</si>
  <si>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</si>
  <si>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</si>
  <si>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</si>
  <si>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</si>
  <si>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</si>
  <si>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</si>
  <si>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</si>
  <si>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</si>
  <si>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</si>
  <si>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</si>
  <si>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</si>
  <si>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</si>
  <si>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</si>
  <si>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</si>
  <si>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</si>
  <si>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</si>
  <si>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</si>
  <si>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</si>
  <si>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</si>
  <si>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</si>
  <si>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</si>
  <si>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</si>
  <si>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</si>
  <si>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</si>
  <si>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</si>
  <si>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</si>
  <si>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</si>
  <si>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</si>
  <si>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</si>
  <si>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</si>
  <si>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</si>
  <si>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</si>
  <si>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</si>
  <si>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</si>
  <si>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</si>
  <si>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</si>
  <si>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</si>
  <si>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</si>
  <si>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</si>
  <si>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</si>
  <si>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</si>
  <si>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</si>
  <si>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</si>
  <si>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</si>
  <si>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</si>
  <si>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</si>
  <si>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</si>
  <si>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</si>
  <si>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</si>
  <si>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</si>
  <si>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</si>
  <si>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</si>
  <si>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</si>
  <si>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</si>
  <si>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</si>
  <si>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</si>
  <si>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</si>
  <si>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</si>
  <si>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</si>
  <si>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</si>
  <si>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</si>
  <si>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</si>
  <si>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</si>
  <si>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</si>
  <si>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</si>
  <si>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</si>
  <si>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</si>
  <si>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</si>
  <si>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</si>
  <si>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</si>
  <si>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</si>
  <si>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</si>
  <si>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</si>
  <si>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</si>
  <si>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</si>
  <si>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</si>
  <si>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</si>
  <si>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</si>
  <si>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</si>
  <si>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</si>
  <si>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</si>
  <si>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</si>
  <si>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</si>
  <si>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</si>
  <si>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</si>
  <si>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</si>
  <si>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</si>
  <si>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</si>
  <si>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</si>
  <si>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</si>
  <si>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</si>
  <si>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</si>
  <si>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</si>
  <si>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</si>
  <si>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</si>
  <si>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</si>
  <si>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</si>
  <si>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</si>
  <si>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</si>
  <si>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</si>
  <si>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</si>
  <si>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</si>
  <si>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</si>
  <si>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</si>
  <si>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</si>
  <si>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</si>
  <si>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</si>
  <si>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</si>
  <si>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</si>
  <si>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</si>
  <si>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</si>
  <si>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</si>
  <si>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</si>
  <si>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</si>
  <si>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</si>
  <si>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</si>
  <si>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</si>
  <si>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</si>
  <si>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</si>
  <si>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</si>
  <si>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</si>
  <si>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</si>
  <si>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</si>
  <si>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</si>
  <si>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</si>
  <si>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</si>
  <si>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</si>
  <si>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</si>
  <si>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</si>
  <si>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</si>
  <si>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</si>
  <si>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</si>
  <si>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</si>
  <si>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</si>
  <si>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</si>
  <si>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</si>
  <si>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</si>
  <si>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</si>
  <si>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</si>
  <si>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</si>
  <si>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</si>
  <si>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</si>
  <si>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</si>
  <si>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</si>
  <si>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</si>
  <si>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</si>
  <si>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</si>
  <si>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</si>
  <si>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</si>
  <si>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</si>
  <si>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</si>
  <si>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</si>
  <si>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</si>
  <si>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</si>
  <si>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</si>
  <si>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</si>
  <si>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</si>
  <si>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</si>
  <si>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</si>
  <si>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</si>
  <si>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</si>
  <si>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</si>
  <si>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</si>
  <si>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</si>
  <si>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</si>
  <si>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</si>
  <si>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</si>
  <si>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</si>
  <si>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</si>
  <si>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</si>
  <si>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</si>
  <si>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</si>
  <si>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</si>
  <si>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</si>
  <si>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</si>
  <si>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</si>
  <si>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</si>
  <si>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</si>
  <si>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</si>
  <si>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</si>
  <si>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</si>
  <si>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</si>
  <si>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</si>
  <si>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</si>
  <si>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</si>
  <si>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</si>
  <si>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</si>
  <si>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</si>
  <si>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</si>
  <si>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</si>
  <si>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</si>
  <si>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</si>
  <si>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</si>
  <si>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</si>
  <si>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</si>
  <si>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</si>
  <si>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</si>
  <si>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</si>
  <si>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</si>
  <si>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</si>
  <si>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</si>
  <si>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</si>
  <si>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</si>
  <si>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</si>
  <si>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</si>
  <si>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</si>
  <si>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</si>
  <si>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</si>
  <si>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</si>
  <si>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</si>
  <si>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</si>
  <si>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</si>
  <si>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</si>
  <si>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</si>
  <si>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</si>
  <si>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</si>
  <si>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</si>
  <si>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</si>
  <si>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</si>
  <si>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</si>
  <si>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</si>
  <si>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</si>
  <si>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</si>
  <si>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</si>
  <si>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</si>
  <si>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</si>
  <si>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</si>
  <si>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</si>
  <si>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</si>
  <si>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</si>
  <si>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</si>
  <si>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</si>
  <si>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</si>
  <si>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</si>
  <si>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</si>
  <si>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</si>
  <si>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</si>
  <si>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</si>
  <si>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</si>
  <si>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</si>
  <si>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</si>
  <si>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</si>
  <si>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</si>
  <si>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</si>
  <si>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</si>
  <si>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</si>
  <si>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</si>
  <si>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</si>
  <si>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</si>
  <si>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</si>
  <si>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</si>
  <si>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</si>
  <si>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</si>
  <si>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</si>
  <si>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</si>
  <si>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</si>
  <si>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</si>
  <si>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</si>
  <si>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</si>
  <si>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</si>
  <si>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</si>
  <si>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</si>
  <si>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</si>
  <si>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</si>
  <si>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</si>
  <si>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</si>
  <si>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</si>
  <si>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</si>
  <si>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</si>
  <si>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</si>
  <si>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</si>
  <si>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</si>
  <si>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</si>
  <si>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</si>
  <si>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</si>
  <si>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</si>
  <si>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</si>
  <si>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</si>
  <si>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</si>
  <si>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</si>
  <si>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</si>
  <si>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</si>
  <si>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</si>
  <si>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</si>
  <si>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</si>
  <si>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</si>
  <si>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</si>
  <si>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</si>
  <si>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</si>
  <si>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</si>
  <si>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</si>
  <si>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</si>
  <si>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</si>
  <si>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</si>
  <si>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</si>
  <si>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</si>
  <si>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</si>
  <si>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</si>
  <si>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</si>
  <si>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</si>
  <si>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</si>
  <si>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</si>
  <si>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</si>
  <si>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</si>
  <si>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</si>
  <si>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</si>
  <si>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</si>
  <si>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</si>
  <si>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</si>
  <si>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</si>
  <si>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</si>
  <si>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</si>
  <si>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</si>
  <si>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</si>
  <si>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</si>
  <si>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</si>
  <si>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</si>
  <si>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</si>
  <si>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</si>
  <si>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</si>
  <si>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</si>
  <si>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</si>
  <si>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</si>
  <si>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</si>
  <si>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</si>
  <si>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</si>
  <si>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</si>
  <si>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</si>
  <si>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</si>
  <si>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</si>
  <si>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</si>
  <si>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</si>
  <si>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</si>
  <si>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</si>
  <si>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</si>
  <si>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</si>
  <si>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</si>
  <si>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</si>
  <si>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</si>
  <si>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</si>
  <si>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</si>
  <si>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</si>
  <si>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</si>
  <si>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</si>
  <si>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</si>
  <si>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</si>
  <si>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</si>
  <si>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</si>
  <si>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</si>
  <si>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</si>
  <si>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</si>
  <si>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</si>
  <si>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</si>
  <si>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</si>
  <si>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</si>
  <si>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</si>
  <si>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</si>
  <si>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</si>
  <si>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</si>
  <si>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</si>
  <si>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</si>
  <si>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</si>
  <si>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</si>
  <si>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</si>
  <si>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</si>
  <si>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</si>
  <si>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</si>
  <si>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</si>
  <si>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</si>
  <si>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</si>
  <si>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</si>
  <si>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</si>
  <si>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</si>
  <si>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</si>
  <si>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</si>
  <si>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</si>
  <si>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</si>
  <si>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</si>
  <si>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</si>
  <si>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</si>
  <si>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</si>
  <si>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</si>
  <si>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</si>
  <si>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</si>
  <si>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</si>
  <si>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</si>
  <si>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</si>
  <si>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</si>
  <si>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</si>
  <si>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</si>
  <si>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</si>
  <si>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</si>
  <si>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</si>
  <si>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</si>
  <si>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</si>
  <si>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</si>
  <si>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</si>
  <si>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</si>
  <si>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</si>
  <si>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</si>
  <si>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</si>
  <si>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</si>
  <si>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</si>
  <si>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</si>
  <si>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</si>
  <si>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</si>
  <si>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</si>
  <si>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</si>
  <si>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</si>
  <si>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</si>
  <si>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</si>
  <si>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</si>
  <si>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</si>
  <si>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</si>
  <si>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</si>
  <si>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</si>
  <si>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</si>
  <si>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</si>
  <si>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</si>
  <si>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</si>
  <si>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</si>
  <si>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</si>
  <si>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</si>
  <si>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</si>
  <si>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</si>
  <si>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</si>
  <si>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</si>
  <si>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</si>
  <si>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</si>
  <si>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</si>
  <si>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</si>
  <si>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</si>
  <si>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</si>
  <si>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</si>
  <si>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</si>
  <si>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</si>
  <si>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</si>
  <si>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</si>
  <si>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</si>
  <si>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</si>
  <si>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</si>
  <si>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</si>
  <si>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</si>
  <si>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</si>
  <si>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</si>
  <si>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</si>
  <si>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</si>
  <si>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</si>
  <si>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</si>
  <si>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</si>
  <si>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</si>
  <si>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</si>
  <si>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</si>
  <si>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</si>
  <si>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</si>
  <si>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</si>
  <si>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</si>
  <si>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</si>
  <si>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</si>
  <si>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</si>
  <si>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</si>
  <si>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</si>
  <si>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</si>
  <si>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</si>
  <si>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</si>
  <si>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</si>
  <si>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</si>
  <si>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</si>
  <si>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</si>
  <si>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</si>
  <si>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</si>
  <si>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</si>
  <si>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</si>
  <si>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</si>
  <si>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</si>
  <si>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</si>
  <si>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</si>
  <si>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</si>
  <si>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</si>
  <si>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</si>
  <si>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</si>
  <si>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</si>
  <si>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</si>
  <si>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</si>
  <si>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</si>
  <si>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</si>
  <si>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</si>
  <si>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</si>
  <si>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</si>
  <si>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</si>
  <si>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</si>
  <si>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</si>
  <si>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</si>
  <si>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</si>
  <si>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</si>
  <si>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</si>
  <si>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</si>
  <si>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</si>
  <si>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</si>
  <si>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</si>
  <si>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</si>
  <si>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</si>
  <si>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</si>
  <si>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</si>
  <si>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</si>
  <si>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</si>
  <si>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</si>
  <si>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</si>
  <si>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</si>
  <si>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</si>
  <si>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</si>
  <si>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</si>
  <si>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</si>
  <si>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</si>
  <si>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</si>
  <si>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</si>
  <si>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</si>
  <si>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</si>
  <si>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</si>
  <si>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</si>
  <si>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</si>
  <si>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</si>
  <si>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</si>
  <si>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</si>
  <si>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</si>
  <si>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</si>
  <si>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</si>
  <si>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</si>
  <si>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</si>
  <si>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</si>
  <si>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</si>
  <si>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</si>
  <si>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</si>
  <si>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</si>
  <si>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</si>
  <si>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</si>
  <si>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</si>
  <si>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</si>
  <si>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</si>
  <si>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</si>
  <si>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</si>
  <si>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</si>
  <si>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</si>
  <si>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</si>
  <si>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</si>
  <si>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</si>
  <si>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</si>
  <si>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</si>
  <si>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</si>
  <si>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</si>
  <si>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</si>
  <si>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</si>
  <si>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</si>
  <si>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</si>
  <si>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</si>
  <si>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</si>
  <si>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</si>
  <si>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</si>
  <si>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</si>
  <si>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</si>
  <si>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</si>
  <si>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</si>
  <si>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</si>
  <si>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</si>
  <si>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</si>
  <si>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</si>
  <si>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</si>
  <si>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</si>
  <si>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</si>
  <si>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</si>
  <si>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</si>
  <si>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</si>
  <si>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</si>
  <si>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</si>
  <si>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</si>
  <si>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</si>
  <si>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</si>
  <si>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</si>
  <si>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</si>
  <si>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</si>
  <si>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</si>
  <si>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</si>
  <si>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</si>
  <si>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</si>
  <si>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</si>
  <si>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</si>
  <si>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</si>
  <si>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</si>
  <si>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</si>
  <si>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</si>
  <si>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</si>
  <si>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</si>
  <si>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</si>
  <si>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</si>
  <si>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</si>
  <si>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</si>
  <si>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</si>
  <si>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</si>
  <si>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</si>
  <si>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</si>
  <si>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</si>
  <si>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</si>
  <si>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</si>
  <si>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</si>
  <si>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</si>
  <si>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</si>
  <si>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</si>
  <si>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</si>
  <si>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</si>
  <si>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</si>
  <si>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</si>
  <si>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</si>
  <si>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</si>
  <si>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</si>
  <si>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</si>
  <si>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</si>
  <si>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</si>
  <si>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</si>
  <si>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</si>
  <si>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</si>
  <si>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</si>
  <si>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</si>
  <si>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</si>
  <si>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</si>
  <si>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</si>
  <si>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</si>
  <si>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</si>
  <si>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</si>
  <si>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</si>
  <si>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</si>
  <si>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</si>
  <si>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</si>
  <si>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</si>
  <si>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</si>
  <si>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</si>
  <si>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</si>
  <si>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</si>
  <si>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</si>
  <si>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</si>
  <si>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</si>
  <si>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</si>
  <si>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</si>
  <si>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</si>
  <si>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</si>
  <si>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</si>
  <si>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</si>
  <si>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</si>
  <si>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</si>
  <si>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</si>
  <si>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</si>
  <si>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</si>
  <si>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</si>
  <si>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</si>
  <si>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</si>
  <si>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</si>
  <si>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</si>
  <si>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</si>
  <si>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</si>
  <si>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</si>
  <si>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</si>
  <si>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</si>
  <si>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</si>
  <si>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</si>
  <si>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</si>
  <si>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</si>
  <si>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</si>
  <si>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</si>
  <si>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</si>
  <si>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</si>
  <si>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</si>
  <si>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</si>
  <si>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</si>
  <si>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</si>
  <si>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</si>
  <si>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</si>
  <si>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</si>
  <si>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</si>
  <si>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</si>
  <si>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</si>
  <si>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</si>
  <si>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</si>
  <si>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</si>
  <si>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</si>
  <si>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</si>
  <si>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</si>
  <si>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</si>
  <si>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</si>
  <si>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</si>
  <si>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</si>
  <si>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</si>
  <si>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</si>
  <si>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</si>
  <si>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</si>
  <si>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</si>
  <si>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</si>
  <si>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</si>
  <si>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</si>
  <si>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</si>
  <si>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</si>
  <si>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</si>
  <si>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</si>
  <si>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</si>
  <si>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</si>
  <si>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</si>
  <si>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</si>
  <si>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</si>
  <si>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</si>
  <si>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</si>
  <si>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</si>
  <si>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</si>
  <si>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</si>
  <si>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</si>
  <si>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</si>
  <si>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</si>
  <si>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</si>
  <si>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</si>
  <si>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</si>
  <si>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</si>
  <si>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</si>
  <si>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</si>
  <si>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</si>
  <si>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</si>
  <si>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</si>
  <si>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</si>
  <si>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</si>
  <si>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</si>
  <si>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</si>
  <si>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</si>
  <si>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</si>
  <si>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</si>
  <si>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</si>
  <si>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</si>
  <si>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</si>
  <si>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</si>
  <si>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</si>
  <si>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</si>
  <si>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</si>
  <si>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</si>
  <si>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</si>
  <si>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</si>
  <si>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</si>
  <si>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</si>
  <si>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</si>
  <si>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</si>
  <si>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</si>
  <si>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</si>
  <si>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</si>
  <si>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</si>
  <si>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</si>
  <si>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</si>
  <si>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</si>
  <si>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</si>
  <si>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</si>
  <si>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</si>
  <si>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</si>
  <si>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</si>
  <si>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</si>
  <si>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</si>
  <si>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</si>
  <si>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</si>
  <si>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</si>
  <si>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</si>
  <si>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</si>
  <si>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</si>
  <si>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</si>
  <si>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</si>
  <si>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</si>
  <si>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</si>
  <si>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</si>
  <si>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</si>
  <si>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</si>
  <si>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</si>
  <si>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</si>
  <si>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</si>
  <si>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</si>
  <si>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</si>
  <si>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</si>
  <si>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</si>
  <si>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</si>
  <si>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</si>
  <si>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</si>
  <si>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</si>
  <si>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</si>
  <si>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</si>
  <si>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</si>
  <si>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</si>
  <si>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</si>
  <si>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</si>
  <si>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</si>
  <si>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</si>
  <si>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</si>
  <si>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</si>
  <si>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</si>
  <si>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</si>
  <si>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</si>
  <si>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</si>
  <si>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</si>
  <si>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</si>
  <si>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</si>
  <si>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</si>
  <si>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</si>
  <si>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</si>
  <si>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</si>
  <si>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</si>
  <si>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</si>
  <si>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</si>
  <si>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</si>
  <si>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</si>
  <si>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</si>
  <si>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</si>
  <si>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</si>
  <si>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</si>
  <si>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</si>
  <si>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</si>
  <si>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</si>
  <si>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</si>
  <si>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</si>
  <si>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</si>
  <si>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</si>
  <si>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</si>
  <si>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</si>
  <si>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</si>
  <si>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</si>
  <si>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</si>
  <si>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</si>
  <si>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</si>
  <si>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</si>
  <si>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</si>
  <si>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</si>
  <si>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</si>
  <si>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</si>
  <si>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</si>
  <si>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</si>
  <si>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</si>
  <si>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</si>
  <si>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</si>
  <si>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</si>
  <si>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</si>
  <si>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</si>
  <si>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</si>
  <si>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</si>
  <si>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</si>
  <si>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</si>
  <si>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</si>
  <si>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</si>
  <si>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</si>
  <si>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</si>
  <si>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</si>
  <si>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</si>
  <si>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</si>
  <si>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</si>
  <si>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</si>
  <si>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</si>
  <si>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</si>
  <si>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</si>
  <si>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</si>
  <si>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</si>
  <si>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</si>
  <si>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</si>
  <si>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</si>
  <si>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</si>
  <si>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</si>
  <si>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</si>
  <si>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</si>
  <si>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</si>
  <si>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</si>
  <si>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</si>
  <si>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</si>
  <si>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</si>
  <si>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</si>
  <si>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</si>
  <si>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</si>
  <si>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</si>
  <si>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</si>
  <si>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</si>
  <si>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</si>
  <si>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</si>
  <si>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</si>
  <si>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</si>
  <si>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</si>
  <si>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</si>
  <si>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</si>
  <si>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</si>
  <si>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</si>
  <si>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</si>
  <si>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</si>
  <si>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</si>
  <si>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</si>
  <si>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</si>
  <si>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</si>
  <si>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</si>
  <si>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</si>
  <si>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</si>
  <si>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</si>
  <si>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</si>
  <si>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</si>
  <si>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</si>
  <si>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</si>
  <si>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</si>
  <si>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</si>
  <si>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</si>
  <si>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</si>
  <si>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</si>
  <si>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</si>
  <si>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</si>
  <si>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</si>
  <si>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</si>
  <si>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</si>
  <si>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</si>
  <si>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</si>
  <si>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</si>
  <si>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</si>
  <si>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</si>
  <si>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</si>
  <si>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</si>
  <si>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</si>
  <si>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</si>
  <si>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</si>
  <si>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</si>
  <si>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</si>
  <si>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</si>
  <si>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</si>
  <si>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</si>
  <si>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</si>
  <si>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</si>
  <si>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</si>
  <si>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</si>
  <si>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</si>
  <si>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</si>
  <si>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</si>
  <si>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</si>
  <si>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</si>
  <si>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</si>
  <si>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</si>
  <si>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</si>
  <si>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</si>
  <si>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</si>
  <si>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</si>
  <si>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</si>
  <si>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</si>
  <si>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</si>
  <si>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</si>
  <si>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</si>
  <si>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</si>
  <si>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</si>
  <si>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</si>
  <si>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</si>
  <si>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</si>
  <si>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</si>
  <si>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</si>
  <si>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</si>
  <si>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</si>
  <si>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</si>
  <si>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</si>
  <si>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</si>
  <si>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</si>
  <si>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</si>
  <si>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</si>
  <si>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</si>
  <si>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</si>
  <si>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</si>
  <si>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</si>
  <si>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</si>
  <si>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</si>
  <si>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</si>
  <si>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</si>
  <si>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</si>
  <si>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</si>
  <si>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</si>
  <si>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</si>
  <si>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</si>
  <si>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</si>
  <si>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</si>
  <si>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</si>
  <si>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</si>
  <si>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</si>
  <si>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</si>
  <si>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</si>
  <si>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</si>
  <si>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</si>
  <si>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</si>
  <si>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</si>
  <si>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</si>
  <si>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</si>
  <si>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</si>
  <si>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</si>
  <si>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</si>
  <si>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</si>
  <si>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</si>
  <si>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</si>
  <si>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</si>
  <si>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</si>
  <si>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</si>
  <si>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</si>
  <si>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</si>
  <si>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</si>
  <si>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</si>
  <si>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</si>
  <si>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</si>
  <si>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</si>
  <si>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</si>
  <si>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</si>
  <si>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</si>
  <si>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</si>
  <si>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</si>
  <si>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</si>
  <si>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</si>
  <si>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</si>
  <si>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</si>
  <si>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</si>
  <si>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</si>
  <si>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</si>
  <si>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</si>
  <si>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</si>
  <si>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</si>
  <si>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</si>
  <si>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</si>
  <si>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</si>
  <si>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</si>
  <si>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</si>
  <si>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</si>
  <si>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</si>
  <si>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</si>
  <si>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</si>
  <si>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</si>
  <si>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</si>
  <si>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</si>
  <si>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</si>
  <si>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</si>
  <si>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</si>
  <si>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</si>
  <si>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</si>
  <si>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</si>
  <si>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</si>
  <si>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</si>
  <si>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</si>
  <si>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</si>
  <si>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</si>
  <si>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</si>
  <si>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</si>
  <si>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</si>
  <si>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</si>
  <si>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</si>
  <si>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</si>
  <si>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</si>
  <si>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</si>
  <si>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</si>
  <si>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</si>
  <si>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</si>
  <si>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</si>
  <si>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</si>
  <si>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</si>
  <si>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</si>
  <si>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</si>
  <si>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</si>
  <si>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</si>
  <si>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</si>
  <si>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</si>
  <si>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</si>
  <si>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</si>
  <si>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</si>
  <si>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</si>
  <si>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</si>
  <si>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</si>
  <si>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</si>
  <si>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</si>
  <si>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</si>
  <si>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</si>
  <si>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</si>
  <si>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</si>
  <si>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</si>
  <si>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</si>
  <si>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</si>
  <si>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</si>
  <si>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</si>
  <si>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</si>
  <si>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</si>
  <si>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</si>
  <si>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</si>
  <si>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</si>
  <si>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</si>
  <si>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</si>
  <si>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</si>
  <si>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</si>
  <si>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</si>
  <si>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</si>
  <si>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</si>
  <si>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</si>
  <si>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</si>
  <si>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</si>
  <si>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</si>
  <si>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</si>
  <si>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</si>
  <si>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</si>
  <si>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</si>
  <si>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</si>
  <si>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</si>
  <si>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</si>
  <si>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</si>
  <si>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</si>
  <si>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</si>
  <si>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</si>
  <si>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</si>
  <si>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</si>
  <si>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</si>
  <si>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</si>
  <si>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</si>
  <si>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</si>
  <si>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</si>
  <si>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</si>
  <si>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</si>
  <si>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</si>
  <si>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</si>
  <si>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</si>
  <si>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</si>
  <si>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</si>
  <si>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</si>
  <si>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</si>
  <si>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</si>
  <si>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</si>
  <si>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</si>
  <si>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</si>
  <si>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</si>
  <si>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</si>
  <si>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</si>
  <si>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</si>
  <si>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</si>
  <si>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</si>
  <si>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</si>
  <si>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</si>
  <si>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</si>
  <si>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</si>
  <si>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</si>
  <si>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</si>
  <si>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</si>
  <si>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</si>
  <si>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</si>
  <si>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</si>
  <si>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</si>
  <si>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</si>
  <si>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</si>
  <si>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</si>
  <si>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</si>
  <si>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</si>
  <si>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</si>
  <si>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</si>
  <si>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</si>
  <si>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</si>
  <si>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</si>
  <si>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</si>
  <si>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</si>
  <si>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</si>
  <si>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</si>
  <si>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</si>
  <si>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</si>
  <si>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</si>
  <si>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</si>
  <si>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</si>
  <si>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</si>
  <si>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</si>
  <si>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</si>
  <si>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</si>
  <si>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</si>
  <si>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</si>
  <si>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</si>
  <si>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</si>
  <si>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</si>
  <si>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</si>
  <si>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</si>
  <si>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</si>
  <si>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</si>
  <si>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</si>
  <si>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</si>
  <si>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</si>
  <si>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</si>
  <si>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</si>
  <si>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</si>
  <si>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</si>
  <si>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</si>
  <si>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</si>
  <si>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</si>
  <si>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</si>
  <si>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</si>
  <si>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</si>
  <si>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</si>
  <si>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</si>
  <si>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</si>
  <si>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</si>
  <si>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</si>
  <si>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</si>
  <si>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</si>
  <si>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</si>
  <si>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</si>
  <si>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</si>
  <si>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</si>
  <si>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</si>
  <si>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</si>
  <si>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</si>
  <si>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</si>
  <si>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</si>
  <si>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</si>
  <si>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</si>
  <si>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</si>
  <si>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</si>
  <si>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</si>
  <si>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</si>
  <si>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</si>
  <si>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</si>
  <si>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</si>
  <si>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</si>
  <si>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</si>
  <si>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</si>
  <si>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</si>
  <si>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</si>
  <si>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</si>
  <si>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</si>
  <si>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</si>
  <si>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</si>
  <si>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</si>
  <si>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</si>
  <si>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</si>
  <si>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</si>
  <si>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</si>
  <si>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</si>
  <si>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</si>
  <si>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</si>
  <si>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</si>
  <si>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</si>
  <si>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</si>
  <si>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</si>
  <si>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</si>
  <si>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</si>
  <si>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</si>
  <si>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</si>
  <si>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</si>
  <si>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</si>
  <si>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</si>
  <si>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</si>
  <si>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</si>
  <si>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</si>
  <si>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</si>
  <si>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</si>
  <si>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</si>
  <si>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</si>
  <si>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</si>
  <si>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</si>
  <si>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</si>
  <si>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</si>
  <si>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</si>
  <si>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</si>
  <si>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</si>
  <si>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</si>
  <si>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</si>
  <si>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</si>
  <si>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</si>
  <si>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</si>
  <si>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</si>
  <si>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</si>
  <si>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</si>
  <si>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</si>
  <si>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</si>
  <si>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</si>
  <si>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</si>
  <si>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</si>
  <si>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</si>
  <si>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</si>
  <si>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</si>
  <si>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</si>
  <si>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</si>
  <si>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</si>
  <si>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</si>
  <si>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</si>
  <si>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</si>
  <si>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</si>
  <si>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</si>
  <si>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</si>
  <si>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</si>
  <si>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</si>
  <si>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</si>
  <si>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</si>
  <si>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</si>
  <si>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</si>
  <si>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</si>
  <si>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</si>
  <si>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</si>
  <si>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</si>
  <si>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</si>
  <si>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</si>
  <si>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</si>
  <si>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</si>
  <si>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</si>
  <si>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</si>
  <si>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</si>
  <si>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</si>
  <si>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</si>
  <si>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</si>
  <si>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</si>
  <si>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</si>
  <si>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</si>
  <si>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</si>
  <si>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</si>
  <si>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</si>
  <si>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</si>
  <si>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</si>
  <si>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</si>
  <si>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</si>
  <si>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</si>
  <si>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</si>
  <si>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</si>
  <si>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</si>
  <si>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</si>
  <si>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</si>
  <si>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</si>
  <si>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</si>
  <si>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</si>
  <si>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</si>
  <si>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</si>
  <si>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</si>
  <si>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</si>
  <si>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</si>
  <si>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</si>
  <si>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</si>
  <si>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</si>
  <si>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</si>
  <si>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</si>
  <si>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</si>
  <si>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</si>
  <si>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</si>
  <si>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</si>
  <si>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</si>
  <si>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</si>
  <si>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</si>
  <si>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</si>
  <si>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</si>
  <si>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</si>
  <si>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</si>
  <si>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</si>
  <si>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</si>
  <si>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</si>
  <si>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</si>
  <si>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</si>
  <si>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</si>
  <si>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</si>
  <si>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</si>
  <si>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</si>
  <si>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</si>
  <si>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</si>
  <si>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</si>
  <si>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</si>
  <si>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</si>
  <si>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</si>
  <si>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</si>
  <si>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</si>
  <si>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</si>
  <si>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</si>
  <si>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</si>
  <si>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</si>
  <si>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</si>
  <si>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</si>
  <si>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</si>
  <si>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</si>
  <si>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</si>
  <si>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</si>
  <si>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</si>
  <si>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</si>
  <si>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</si>
  <si>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</si>
  <si>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</si>
  <si>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</si>
  <si>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</si>
  <si>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</si>
  <si>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</si>
  <si>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</si>
  <si>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</si>
  <si>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</si>
  <si>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</si>
  <si>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</si>
  <si>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</si>
  <si>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</si>
  <si>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</si>
  <si>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</si>
  <si>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</si>
  <si>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</si>
  <si>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</si>
  <si>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</si>
  <si>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</si>
  <si>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</si>
  <si>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</si>
  <si>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</si>
  <si>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</si>
  <si>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</si>
  <si>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</si>
  <si>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</si>
  <si>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</si>
  <si>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</si>
  <si>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</si>
  <si>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</si>
  <si>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</si>
  <si>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</si>
  <si>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</si>
  <si>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</si>
  <si>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</si>
  <si>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</si>
  <si>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</si>
  <si>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</si>
  <si>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</si>
  <si>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</si>
  <si>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</si>
  <si>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</si>
  <si>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</si>
  <si>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</si>
  <si>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</si>
  <si>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</si>
  <si>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</si>
  <si>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</si>
  <si>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</si>
  <si>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</si>
  <si>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</si>
  <si>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</si>
  <si>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</si>
  <si>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</si>
  <si>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</si>
  <si>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</si>
  <si>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</si>
  <si>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</si>
  <si>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</si>
  <si>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</si>
  <si>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</si>
  <si>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</si>
  <si>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</si>
  <si>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</si>
  <si>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</si>
  <si>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</si>
  <si>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</si>
  <si>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</si>
  <si>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</si>
  <si>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</si>
  <si>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</si>
  <si>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</si>
  <si>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</si>
  <si>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</si>
  <si>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</si>
  <si>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</si>
  <si>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</si>
  <si>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</si>
  <si>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</si>
  <si>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</si>
  <si>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</si>
  <si>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</si>
  <si>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</si>
  <si>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</si>
  <si>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</si>
  <si>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</si>
  <si>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</si>
  <si>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</si>
  <si>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</si>
  <si>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</si>
  <si>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</si>
  <si>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</si>
  <si>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</si>
  <si>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</si>
  <si>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</si>
  <si>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</si>
  <si>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</si>
  <si>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</si>
  <si>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</si>
  <si>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</si>
  <si>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</si>
  <si>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</si>
  <si>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</si>
  <si>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</si>
  <si>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</si>
  <si>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</si>
  <si>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</si>
  <si>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</si>
  <si>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</si>
  <si>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</si>
  <si>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</si>
  <si>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</si>
  <si>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</si>
  <si>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</si>
  <si>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</si>
  <si>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</si>
  <si>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</si>
  <si>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</si>
  <si>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</si>
  <si>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</si>
  <si>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</si>
  <si>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</si>
  <si>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</si>
  <si>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</si>
  <si>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</si>
  <si>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</si>
  <si>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</si>
  <si>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</si>
  <si>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</si>
  <si>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</si>
  <si>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</si>
  <si>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</si>
  <si>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</si>
  <si>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</si>
  <si>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</si>
  <si>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</si>
  <si>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</si>
  <si>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</si>
  <si>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</si>
  <si>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</si>
  <si>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</si>
  <si>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</si>
  <si>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</si>
  <si>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</si>
  <si>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</si>
  <si>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</si>
  <si>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</si>
  <si>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</si>
  <si>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</si>
  <si>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</si>
  <si>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</si>
  <si>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</si>
  <si>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</si>
  <si>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</si>
  <si>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</si>
  <si>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</si>
  <si>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</si>
  <si>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</si>
  <si>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</si>
  <si>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</si>
  <si>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</si>
  <si>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</si>
  <si>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</si>
  <si>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</si>
  <si>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</si>
  <si>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</si>
  <si>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</si>
  <si>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</si>
  <si>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</si>
  <si>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</si>
  <si>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</si>
  <si>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</si>
  <si>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</si>
  <si>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</si>
  <si>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</si>
  <si>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</si>
  <si>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</si>
  <si>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</si>
  <si>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</si>
  <si>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</si>
  <si>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</si>
  <si>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</si>
  <si>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</si>
  <si>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</si>
  <si>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</si>
  <si>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</si>
  <si>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</si>
  <si>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</si>
  <si>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</si>
  <si>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</si>
  <si>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</si>
  <si>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</si>
  <si>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</si>
  <si>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</si>
  <si>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</si>
  <si>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</si>
  <si>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</si>
  <si>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</si>
  <si>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</si>
  <si>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</si>
  <si>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</si>
  <si>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</si>
  <si>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</si>
  <si>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</si>
  <si>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</si>
  <si>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</si>
  <si>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</si>
  <si>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</si>
  <si>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</si>
  <si>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</si>
  <si>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</si>
  <si>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</si>
  <si>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</si>
  <si>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</si>
  <si>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</si>
  <si>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</si>
  <si>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</si>
  <si>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</si>
  <si>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</si>
  <si>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</si>
  <si>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</si>
  <si>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</si>
  <si>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</si>
  <si>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</si>
  <si>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</si>
  <si>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</si>
  <si>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</si>
  <si>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</si>
  <si>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</si>
  <si>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</si>
  <si>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</si>
  <si>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</si>
  <si>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</si>
  <si>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</si>
  <si>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</si>
  <si>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</si>
  <si>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</si>
  <si>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</si>
  <si>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</si>
  <si>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</si>
  <si>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</si>
  <si>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</si>
  <si>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</si>
  <si>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</si>
  <si>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</si>
  <si>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</si>
  <si>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</si>
  <si>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</si>
  <si>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</si>
  <si>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</si>
  <si>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</si>
  <si>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</si>
  <si>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</si>
  <si>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</si>
  <si>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</si>
  <si>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</si>
  <si>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</si>
  <si>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</si>
  <si>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</si>
  <si>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</si>
  <si>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</si>
  <si>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</si>
  <si>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</si>
  <si>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</si>
  <si>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</si>
  <si>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</si>
  <si>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</si>
  <si>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</si>
  <si>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</si>
  <si>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</si>
  <si>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</si>
  <si>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</si>
  <si>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</si>
  <si>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</si>
  <si>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</si>
  <si>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</si>
  <si>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</si>
  <si>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</si>
  <si>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</si>
  <si>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</si>
  <si>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</si>
  <si>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</si>
  <si>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</si>
  <si>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</si>
  <si>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</si>
  <si>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</si>
  <si>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</si>
  <si>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</si>
  <si>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</si>
  <si>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</si>
  <si>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</si>
  <si>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</si>
  <si>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</si>
  <si>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</si>
  <si>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</si>
  <si>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</si>
  <si>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</si>
  <si>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</si>
  <si>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</si>
  <si>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</si>
  <si>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</si>
  <si>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</si>
  <si>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</si>
  <si>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</si>
  <si>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</si>
  <si>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</si>
  <si>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</si>
  <si>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</si>
  <si>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</si>
  <si>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</si>
  <si>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</si>
  <si>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</si>
  <si>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</si>
  <si>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</si>
  <si>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</si>
  <si>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</si>
  <si>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</si>
  <si>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</si>
  <si>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</si>
  <si>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</si>
  <si>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</si>
  <si>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</si>
  <si>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</si>
  <si>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</si>
  <si>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</si>
  <si>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</si>
  <si>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</si>
  <si>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</si>
  <si>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</si>
  <si>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</si>
  <si>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</si>
  <si>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</si>
  <si>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</si>
  <si>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</si>
  <si>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</si>
  <si>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</si>
  <si>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</si>
  <si>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</si>
  <si>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</si>
  <si>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</si>
  <si>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</si>
  <si>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</si>
  <si>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</si>
  <si>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</si>
  <si>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</si>
  <si>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</si>
  <si>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</si>
  <si>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</si>
  <si>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</si>
  <si>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</si>
  <si>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</si>
  <si>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</si>
  <si>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</si>
  <si>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</si>
  <si>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</si>
  <si>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</si>
  <si>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</si>
  <si>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</si>
  <si>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</si>
  <si>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</si>
  <si>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</si>
  <si>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</si>
  <si>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</si>
  <si>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</si>
  <si>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</si>
  <si>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</si>
  <si>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</si>
  <si>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</si>
  <si>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</si>
  <si>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</si>
  <si>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</si>
  <si>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</si>
  <si>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</si>
  <si>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</si>
  <si>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</si>
  <si>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</si>
  <si>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</si>
  <si>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</si>
  <si>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</si>
  <si>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</si>
  <si>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</si>
  <si>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</si>
  <si>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</si>
  <si>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</si>
  <si>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</si>
  <si>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</si>
  <si>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</si>
  <si>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</si>
  <si>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</si>
  <si>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</si>
  <si>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</si>
  <si>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</si>
  <si>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</si>
  <si>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</si>
  <si>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</si>
  <si>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</si>
  <si>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</si>
  <si>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</si>
  <si>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</si>
  <si>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</si>
  <si>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</si>
  <si>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</si>
  <si>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</si>
  <si>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</si>
  <si>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</si>
  <si>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</si>
  <si>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</si>
  <si>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</si>
  <si>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</si>
  <si>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</si>
  <si>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</si>
  <si>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</si>
  <si>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</si>
  <si>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</si>
  <si>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</si>
  <si>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</si>
  <si>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</si>
  <si>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</si>
  <si>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</si>
  <si>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</si>
  <si>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</si>
  <si>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</si>
  <si>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</si>
  <si>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</si>
  <si>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</si>
  <si>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</si>
  <si>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</si>
  <si>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</si>
  <si>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</si>
  <si>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</si>
  <si>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</si>
  <si>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</si>
  <si>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</si>
  <si>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</si>
  <si>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</si>
  <si>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</si>
  <si>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</si>
  <si>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</si>
  <si>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</si>
  <si>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</si>
  <si>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</si>
  <si>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</si>
  <si>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</si>
  <si>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</si>
  <si>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</si>
  <si>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</si>
  <si>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</si>
  <si>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</si>
  <si>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</si>
  <si>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</si>
  <si>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</si>
  <si>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</si>
  <si>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</si>
  <si>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</si>
  <si>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</si>
  <si>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</si>
  <si>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</si>
  <si>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</si>
  <si>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</si>
  <si>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</si>
  <si>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</si>
  <si>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</si>
  <si>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</si>
  <si>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</si>
  <si>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</si>
  <si>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</si>
  <si>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</si>
  <si>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</si>
  <si>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</si>
  <si>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</si>
  <si>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</si>
  <si>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</si>
  <si>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</si>
  <si>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</si>
  <si>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</si>
  <si>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</si>
  <si>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</si>
  <si>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</si>
  <si>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</si>
  <si>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</si>
  <si>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</si>
  <si>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</si>
  <si>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</si>
  <si>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</si>
  <si>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</si>
  <si>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</si>
  <si>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</si>
  <si>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</si>
  <si>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</si>
  <si>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</si>
  <si>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</si>
  <si>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</si>
  <si>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</si>
  <si>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</si>
  <si>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</si>
  <si>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</si>
  <si>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</si>
  <si>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</si>
  <si>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</si>
  <si>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</si>
  <si>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</si>
  <si>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</si>
  <si>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</si>
  <si>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</si>
  <si>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</si>
  <si>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</si>
  <si>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</si>
  <si>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</si>
  <si>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</si>
  <si>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</si>
  <si>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</si>
  <si>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</si>
  <si>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</si>
  <si>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</si>
  <si>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</si>
  <si>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</si>
  <si>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</si>
  <si>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</si>
  <si>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</si>
  <si>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</si>
  <si>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</si>
  <si>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</si>
  <si>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</si>
  <si>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</si>
  <si>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</si>
  <si>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</si>
  <si>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</si>
  <si>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</si>
  <si>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</si>
  <si>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</si>
  <si>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</si>
  <si>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</si>
  <si>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</si>
  <si>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</si>
  <si>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</si>
  <si>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</si>
  <si>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</si>
  <si>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</si>
  <si>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</si>
  <si>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</si>
  <si>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</si>
  <si>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</si>
  <si>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</si>
  <si>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</si>
  <si>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</si>
  <si>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</si>
  <si>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</si>
  <si>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</si>
  <si>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</si>
  <si>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</si>
  <si>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</si>
  <si>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</si>
  <si>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</si>
  <si>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</si>
  <si>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</si>
  <si>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</si>
  <si>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</si>
  <si>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</si>
  <si>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</si>
  <si>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</si>
  <si>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</si>
  <si>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</si>
  <si>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</si>
  <si>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</si>
  <si>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</si>
  <si>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</si>
  <si>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</si>
  <si>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</si>
  <si>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</si>
  <si>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</si>
  <si>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</si>
  <si>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</si>
  <si>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</si>
  <si>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</si>
  <si>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</si>
  <si>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</si>
  <si>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</si>
  <si>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</si>
  <si>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</si>
  <si>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</si>
  <si>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</si>
  <si>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</si>
  <si>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</si>
  <si>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</si>
  <si>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</si>
  <si>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</si>
  <si>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</si>
  <si>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</si>
  <si>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</si>
  <si>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</si>
  <si>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</si>
  <si>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</si>
  <si>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</si>
  <si>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</si>
  <si>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</si>
  <si>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</si>
  <si>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</si>
  <si>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</si>
  <si>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</si>
  <si>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</si>
  <si>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</si>
  <si>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</si>
  <si>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</si>
  <si>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</si>
  <si>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</si>
  <si>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</si>
  <si>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</si>
  <si>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</si>
  <si>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</si>
  <si>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</si>
  <si>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</si>
  <si>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</si>
  <si>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</si>
  <si>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</si>
  <si>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</si>
  <si>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</si>
  <si>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</si>
  <si>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</si>
  <si>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</si>
  <si>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</si>
  <si>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</si>
  <si>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</si>
  <si>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</si>
  <si>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</si>
  <si>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</si>
  <si>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</si>
  <si>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</si>
  <si>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</si>
  <si>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</si>
  <si>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</si>
  <si>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</si>
  <si>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</si>
  <si>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</si>
  <si>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</si>
  <si>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</si>
  <si>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</si>
  <si>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</si>
  <si>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</si>
  <si>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</si>
  <si>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</si>
  <si>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</si>
  <si>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</si>
  <si>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</si>
  <si>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</si>
  <si>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</si>
  <si>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</si>
  <si>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</si>
  <si>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</si>
  <si>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</si>
  <si>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</si>
  <si>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</si>
  <si>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</si>
  <si>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</si>
  <si>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</si>
  <si>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</si>
  <si>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</si>
  <si>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</si>
  <si>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</si>
  <si>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</si>
  <si>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</si>
  <si>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</si>
  <si>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</si>
  <si>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</si>
  <si>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</si>
  <si>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</si>
  <si>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</si>
  <si>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</si>
  <si>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</si>
  <si>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</si>
  <si>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</si>
  <si>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</si>
  <si>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</si>
  <si>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</si>
  <si>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</si>
  <si>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</si>
  <si>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</si>
  <si>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</si>
  <si>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</si>
  <si>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</si>
  <si>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</si>
  <si>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</si>
  <si>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</si>
  <si>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</si>
  <si>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</si>
  <si>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</si>
  <si>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</si>
  <si>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</si>
  <si>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</si>
  <si>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</si>
  <si>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</si>
  <si>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</si>
  <si>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</si>
  <si>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</si>
  <si>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</si>
  <si>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</si>
  <si>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</si>
  <si>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</si>
  <si>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</si>
  <si>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</si>
  <si>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</si>
  <si>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</si>
  <si>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</si>
  <si>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</si>
  <si>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</si>
  <si>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</si>
  <si>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</si>
  <si>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</si>
  <si>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</si>
  <si>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</si>
  <si>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</si>
  <si>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</si>
  <si>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</si>
  <si>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</si>
  <si>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</si>
  <si>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</si>
  <si>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</si>
  <si>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</si>
  <si>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</si>
  <si>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</si>
  <si>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</si>
  <si>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</si>
  <si>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</si>
  <si>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</si>
  <si>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</si>
  <si>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</si>
  <si>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</si>
  <si>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</si>
  <si>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</si>
  <si>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</si>
  <si>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</si>
  <si>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</si>
  <si>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</si>
  <si>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</si>
  <si>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</si>
  <si>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</si>
  <si>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</si>
  <si>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</si>
  <si>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</si>
  <si>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</si>
  <si>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</si>
  <si>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</si>
  <si>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</si>
  <si>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</si>
  <si>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</si>
  <si>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</si>
  <si>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</si>
  <si>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</si>
  <si>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</si>
  <si>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</si>
  <si>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</si>
  <si>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</si>
  <si>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</si>
  <si>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</si>
  <si>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</si>
  <si>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</si>
  <si>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</si>
  <si>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</si>
  <si>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</si>
  <si>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</si>
  <si>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</si>
  <si>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</si>
  <si>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</si>
  <si>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</si>
  <si>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</si>
  <si>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</si>
  <si>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</si>
  <si>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</si>
  <si>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</si>
  <si>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</si>
  <si>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</si>
  <si>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</si>
  <si>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</si>
  <si>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</si>
  <si>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</si>
  <si>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</si>
  <si>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</si>
  <si>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</si>
  <si>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</si>
  <si>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</si>
  <si>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</si>
  <si>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</si>
  <si>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</si>
  <si>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</si>
  <si>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</si>
  <si>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</si>
  <si>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</si>
  <si>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</si>
  <si>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</si>
  <si>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</si>
  <si>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</si>
  <si>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</si>
  <si>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</si>
  <si>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</si>
  <si>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</si>
  <si>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</si>
  <si>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</si>
  <si>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</si>
  <si>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</si>
  <si>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</si>
  <si>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</si>
  <si>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</si>
  <si>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</si>
  <si>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</si>
  <si>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</si>
  <si>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</si>
  <si>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</si>
  <si>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</si>
  <si>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</si>
  <si>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</si>
  <si>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</si>
  <si>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</si>
  <si>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</si>
  <si>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</si>
  <si>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</si>
  <si>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</si>
  <si>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</si>
  <si>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</si>
  <si>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</si>
  <si>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</si>
  <si>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</si>
  <si>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</si>
  <si>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</si>
  <si>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</si>
  <si>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</si>
  <si>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</si>
  <si>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</si>
  <si>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</si>
  <si>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</si>
  <si>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</si>
  <si>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</si>
  <si>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</si>
  <si>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</si>
  <si>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</si>
  <si>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</si>
  <si>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</si>
  <si>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</si>
  <si>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</si>
  <si>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</si>
  <si>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</si>
  <si>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</si>
  <si>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</si>
  <si>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</si>
  <si>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</si>
  <si>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</si>
  <si>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</si>
  <si>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</si>
  <si>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</si>
  <si>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</si>
  <si>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</si>
  <si>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</si>
  <si>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</si>
  <si>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</si>
  <si>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</si>
  <si>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</si>
  <si>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</si>
  <si>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</si>
  <si>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</si>
  <si>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</si>
  <si>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</si>
  <si>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</si>
  <si>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</si>
  <si>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</si>
  <si>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</si>
  <si>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</si>
  <si>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</si>
  <si>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</si>
  <si>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</si>
  <si>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</si>
  <si>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</si>
  <si>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</si>
  <si>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</si>
  <si>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</si>
  <si>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</si>
  <si>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</si>
  <si>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</si>
  <si>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</si>
  <si>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</si>
  <si>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</si>
  <si>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</si>
  <si>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</si>
  <si>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</si>
  <si>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</si>
  <si>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</si>
  <si>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</si>
  <si>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</si>
  <si>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</si>
  <si>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</si>
  <si>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</si>
  <si>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</si>
  <si>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</si>
  <si>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</si>
  <si>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</si>
  <si>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</si>
  <si>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</si>
  <si>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</si>
  <si>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</si>
  <si>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</si>
  <si>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</si>
  <si>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</si>
  <si>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</si>
  <si>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</si>
  <si>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</si>
  <si>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</si>
  <si>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</si>
  <si>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</si>
  <si>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</si>
  <si>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</si>
  <si>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</si>
  <si>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</si>
  <si>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</si>
  <si>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</si>
  <si>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</si>
  <si>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</si>
  <si>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</si>
  <si>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</si>
  <si>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</si>
  <si>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</si>
  <si>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</si>
  <si>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</si>
  <si>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</si>
  <si>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</si>
  <si>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</si>
  <si>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</si>
  <si>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</si>
  <si>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</si>
  <si>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</si>
  <si>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</si>
  <si>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</si>
  <si>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</si>
  <si>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</si>
  <si>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</si>
  <si>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</si>
  <si>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</si>
  <si>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</si>
  <si>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</si>
  <si>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</si>
  <si>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</si>
  <si>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</si>
  <si>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</si>
  <si>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</si>
  <si>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</si>
  <si>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</si>
  <si>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</si>
  <si>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</si>
  <si>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</si>
  <si>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</si>
  <si>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</si>
  <si>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</si>
  <si>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</si>
  <si>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</si>
  <si>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</si>
  <si>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</si>
  <si>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</si>
  <si>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</si>
  <si>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</si>
  <si>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</si>
  <si>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</si>
  <si>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</si>
  <si>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</si>
  <si>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</si>
  <si>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</si>
  <si>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</si>
  <si>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</si>
  <si>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</si>
  <si>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</si>
  <si>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</si>
  <si>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</si>
  <si>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</si>
  <si>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</si>
  <si>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</si>
  <si>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</si>
  <si>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</si>
  <si>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</si>
  <si>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</si>
  <si>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</si>
  <si>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</si>
  <si>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</si>
  <si>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</si>
  <si>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</si>
  <si>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</si>
  <si>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</si>
  <si>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</si>
  <si>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</si>
  <si>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</si>
  <si>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</si>
  <si>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</si>
  <si>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</si>
  <si>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</si>
  <si>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</si>
  <si>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</si>
  <si>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</si>
  <si>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</si>
  <si>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</si>
  <si>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</si>
  <si>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</si>
  <si>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</si>
  <si>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</si>
  <si>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</si>
  <si>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</si>
  <si>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</si>
  <si>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</si>
  <si>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</si>
  <si>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</si>
  <si>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</si>
  <si>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</si>
  <si>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</si>
  <si>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</si>
  <si>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</si>
  <si>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</si>
  <si>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</si>
  <si>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</si>
  <si>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</si>
  <si>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</si>
  <si>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</si>
  <si>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</si>
  <si>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</si>
  <si>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</si>
  <si>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</si>
  <si>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</si>
  <si>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</si>
  <si>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</si>
  <si>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</si>
  <si>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</si>
  <si>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</si>
  <si>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</si>
  <si>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</si>
  <si>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</si>
  <si>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</si>
  <si>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</si>
  <si>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</si>
  <si>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</si>
  <si>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</si>
  <si>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</si>
  <si>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</si>
  <si>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</si>
  <si>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</si>
  <si>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</si>
  <si>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</si>
  <si>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</si>
  <si>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</si>
  <si>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</si>
  <si>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</si>
  <si>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</si>
  <si>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</si>
  <si>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</si>
  <si>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</si>
  <si>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</si>
  <si>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</si>
  <si>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</si>
  <si>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</si>
  <si>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</si>
  <si>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</si>
  <si>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</si>
  <si>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</si>
  <si>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</si>
  <si>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</si>
  <si>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</si>
  <si>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</si>
  <si>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</si>
  <si>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</si>
  <si>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</si>
  <si>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</si>
  <si>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</si>
  <si>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</si>
  <si>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</si>
  <si>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</si>
  <si>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</si>
  <si>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</si>
  <si>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</si>
  <si>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</si>
  <si>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</si>
  <si>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</si>
  <si>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</si>
  <si>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</si>
  <si>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</si>
  <si>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</si>
  <si>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</si>
  <si>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</si>
  <si>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</si>
  <si>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</si>
  <si>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</si>
  <si>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</si>
  <si>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</si>
  <si>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</si>
  <si>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</si>
  <si>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</si>
  <si>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</si>
  <si>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</si>
  <si>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</si>
  <si>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</si>
  <si>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</si>
  <si>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</si>
  <si>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</si>
  <si>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</si>
  <si>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</si>
  <si>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</si>
  <si>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</si>
  <si>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</si>
  <si>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</si>
  <si>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</si>
  <si>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</si>
  <si>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</si>
  <si>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</si>
  <si>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</si>
  <si>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</si>
  <si>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</si>
  <si>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</si>
  <si>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</si>
  <si>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</si>
  <si>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</si>
  <si>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</si>
  <si>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</si>
  <si>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</si>
  <si>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</si>
  <si>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</si>
  <si>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</si>
  <si>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</si>
  <si>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</si>
  <si>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</si>
  <si>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</si>
  <si>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</si>
  <si>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</si>
  <si>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</si>
  <si>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</si>
  <si>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</si>
  <si>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</si>
  <si>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</si>
  <si>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</si>
  <si>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</si>
  <si>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</si>
  <si>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</si>
  <si>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</si>
  <si>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</si>
  <si>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</si>
  <si>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</si>
  <si>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</si>
  <si>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</si>
  <si>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</si>
  <si>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</si>
  <si>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</si>
  <si>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</si>
  <si>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</si>
  <si>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</si>
  <si>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</si>
  <si>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</si>
  <si>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</si>
  <si>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</si>
  <si>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</si>
  <si>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</si>
  <si>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</si>
  <si>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</si>
  <si>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</si>
  <si>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</si>
  <si>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</si>
  <si>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</si>
  <si>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</si>
  <si>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</si>
  <si>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</si>
  <si>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</si>
  <si>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</si>
  <si>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</si>
  <si>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</si>
  <si>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</si>
  <si>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</si>
  <si>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</si>
  <si>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</si>
  <si>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</si>
  <si>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</si>
  <si>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</si>
  <si>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</si>
  <si>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</si>
  <si>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</si>
  <si>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</si>
  <si>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</si>
  <si>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</si>
  <si>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</si>
  <si>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</si>
  <si>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</si>
  <si>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</si>
  <si>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</si>
  <si>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</si>
  <si>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</si>
  <si>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</si>
  <si>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</si>
  <si>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</si>
  <si>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</si>
  <si>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</si>
  <si>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</si>
  <si>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</si>
  <si>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</si>
  <si>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</si>
  <si>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</si>
  <si>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</si>
  <si>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</si>
  <si>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</si>
  <si>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</si>
  <si>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</si>
  <si>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</si>
  <si>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</si>
  <si>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</si>
  <si>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</si>
  <si>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</si>
  <si>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</si>
  <si>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</si>
  <si>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</si>
  <si>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</si>
  <si>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</si>
  <si>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</si>
  <si>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</si>
  <si>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</si>
  <si>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</si>
  <si>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</si>
  <si>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</si>
  <si>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</si>
  <si>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</si>
  <si>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</si>
  <si>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</si>
  <si>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</si>
  <si>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</si>
  <si>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</si>
  <si>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</si>
  <si>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</si>
  <si>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</si>
  <si>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</si>
  <si>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</si>
  <si>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</si>
  <si>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</si>
  <si>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</si>
  <si>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</si>
  <si>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</si>
  <si>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</si>
  <si>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</si>
  <si>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</si>
  <si>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</si>
  <si>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</si>
  <si>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</si>
  <si>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</si>
  <si>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</si>
  <si>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</si>
  <si>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</si>
  <si>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</si>
  <si>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</si>
  <si>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</si>
  <si>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</si>
  <si>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</si>
  <si>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</si>
  <si>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</si>
  <si>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</si>
  <si>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</si>
  <si>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</si>
  <si>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</si>
  <si>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</si>
  <si>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</si>
  <si>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</si>
  <si>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</si>
  <si>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</si>
  <si>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</si>
  <si>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</si>
  <si>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</si>
  <si>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</si>
  <si>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</si>
  <si>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</si>
  <si>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</si>
  <si>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</si>
  <si>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</si>
  <si>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</si>
  <si>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</si>
  <si>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</si>
  <si>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</si>
  <si>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</si>
  <si>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</si>
  <si>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</si>
  <si>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</si>
  <si>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</si>
  <si>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</si>
  <si>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</si>
  <si>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</si>
  <si>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</si>
  <si>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</si>
  <si>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</si>
  <si>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</si>
  <si>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</si>
  <si>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</si>
  <si>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</si>
  <si>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</si>
  <si>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</si>
  <si>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</si>
  <si>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</si>
  <si>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</si>
  <si>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</si>
  <si>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</si>
  <si>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</si>
  <si>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</si>
  <si>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</si>
  <si>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</si>
  <si>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</si>
  <si>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</si>
  <si>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</si>
  <si>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</si>
  <si>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</si>
  <si>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</si>
  <si>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</si>
  <si>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</si>
  <si>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</si>
  <si>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</si>
  <si>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</si>
  <si>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</si>
  <si>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</si>
  <si>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</si>
  <si>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</si>
  <si>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</si>
  <si>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</si>
  <si>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</si>
  <si>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</si>
  <si>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</si>
  <si>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</si>
  <si>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</si>
  <si>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</si>
  <si>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</si>
  <si>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</si>
  <si>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</si>
  <si>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</si>
  <si>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</si>
  <si>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</si>
  <si>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</si>
  <si>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</si>
  <si>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</si>
  <si>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</si>
  <si>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</si>
  <si>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</si>
  <si>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</si>
  <si>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</si>
  <si>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</si>
  <si>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</si>
  <si>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</si>
  <si>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</si>
  <si>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</si>
  <si>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</si>
  <si>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</si>
  <si>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</si>
  <si>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</si>
  <si>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</si>
  <si>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</si>
  <si>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</si>
  <si>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</si>
  <si>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</si>
  <si>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</si>
  <si>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</si>
  <si>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</si>
  <si>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</si>
  <si>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</si>
  <si>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</si>
  <si>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</si>
  <si>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</si>
  <si>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</si>
  <si>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</si>
  <si>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</si>
  <si>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</si>
  <si>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</si>
  <si>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</si>
  <si>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</si>
  <si>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</si>
  <si>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</si>
  <si>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</si>
  <si>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</si>
  <si>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</si>
  <si>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</si>
  <si>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</si>
  <si>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</si>
  <si>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</si>
  <si>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</si>
  <si>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</si>
  <si>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</si>
  <si>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</si>
  <si>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</si>
  <si>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</si>
  <si>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</si>
  <si>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</si>
  <si>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</si>
  <si>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</si>
  <si>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</si>
  <si>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</si>
  <si>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</si>
  <si>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</si>
  <si>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</si>
  <si>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</si>
  <si>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</si>
  <si>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</si>
  <si>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</si>
  <si>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</si>
  <si>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</si>
  <si>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</si>
  <si>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</si>
  <si>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</si>
  <si>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</si>
  <si>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</si>
  <si>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</si>
  <si>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</si>
  <si>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</si>
  <si>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</si>
  <si>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</si>
  <si>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</si>
  <si>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</si>
  <si>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</si>
  <si>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</si>
  <si>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</si>
  <si>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</si>
  <si>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</si>
  <si>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</si>
  <si>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</si>
  <si>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</si>
  <si>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</si>
  <si>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</si>
  <si>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</si>
  <si>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</si>
  <si>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</si>
  <si>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</si>
  <si>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</si>
  <si>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</si>
  <si>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</si>
  <si>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</si>
  <si>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</si>
  <si>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</si>
  <si>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</si>
  <si>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</si>
  <si>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</si>
  <si>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</si>
  <si>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</si>
  <si>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</si>
  <si>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</si>
  <si>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</si>
  <si>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</si>
  <si>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</si>
  <si>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</si>
  <si>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</si>
  <si>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</si>
  <si>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</si>
  <si>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</si>
  <si>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</si>
  <si>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</si>
  <si>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</si>
  <si>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</si>
  <si>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</si>
  <si>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</si>
  <si>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</si>
  <si>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</si>
  <si>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</si>
  <si>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</si>
  <si>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</si>
  <si>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</si>
  <si>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</si>
  <si>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</si>
  <si>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</si>
  <si>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</si>
  <si>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</si>
  <si>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</si>
  <si>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</si>
  <si>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</si>
  <si>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</si>
  <si>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</si>
  <si>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</si>
  <si>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</si>
  <si>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</si>
  <si>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</si>
  <si>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</si>
  <si>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</si>
  <si>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</si>
  <si>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</si>
  <si>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</si>
  <si>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</si>
  <si>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</si>
  <si>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</si>
  <si>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</si>
  <si>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</si>
  <si>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</si>
  <si>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</si>
  <si>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</si>
  <si>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</si>
  <si>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</si>
  <si>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</si>
  <si>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</si>
  <si>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</si>
  <si>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</si>
  <si>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</si>
  <si>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</si>
  <si>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</si>
  <si>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</si>
  <si>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</si>
  <si>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</si>
  <si>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</si>
  <si>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</si>
  <si>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</si>
  <si>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</si>
  <si>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</si>
  <si>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</si>
  <si>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</si>
  <si>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</si>
  <si>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</si>
  <si>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</si>
  <si>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</si>
  <si>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</si>
  <si>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</si>
  <si>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</si>
  <si>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</si>
  <si>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</si>
  <si>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</si>
  <si>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</si>
  <si>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</si>
  <si>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</si>
  <si>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</si>
  <si>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</si>
  <si>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</si>
  <si>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</si>
  <si>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</si>
  <si>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</si>
  <si>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</si>
  <si>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</si>
  <si>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</si>
  <si>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</si>
  <si>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</si>
  <si>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</si>
  <si>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</si>
  <si>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</si>
  <si>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</si>
  <si>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</si>
  <si>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</si>
  <si>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</si>
  <si>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</si>
  <si>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</si>
  <si>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</si>
  <si>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</si>
  <si>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</si>
  <si>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</si>
  <si>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</si>
  <si>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</si>
  <si>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</si>
  <si>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</si>
  <si>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</si>
  <si>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</si>
  <si>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</si>
  <si>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</si>
  <si>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</si>
  <si>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</si>
  <si>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</si>
  <si>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</si>
  <si>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</si>
  <si>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</si>
  <si>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</si>
  <si>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</si>
  <si>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</si>
  <si>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</si>
  <si>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</si>
  <si>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</si>
  <si>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</si>
  <si>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</si>
  <si>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</si>
  <si>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</si>
  <si>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</si>
  <si>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</si>
  <si>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</si>
  <si>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</si>
  <si>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</si>
  <si>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</si>
  <si>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</si>
  <si>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</si>
  <si>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</si>
  <si>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</si>
  <si>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</si>
  <si>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</si>
  <si>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</si>
  <si>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</si>
  <si>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</si>
  <si>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</si>
  <si>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</si>
  <si>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</si>
  <si>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</si>
  <si>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</si>
  <si>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</si>
  <si>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</si>
  <si>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</si>
  <si>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</si>
  <si>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</si>
  <si>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</si>
  <si>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</si>
  <si>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</si>
  <si>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</si>
  <si>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</si>
  <si>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</si>
  <si>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</si>
  <si>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</si>
  <si>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</si>
  <si>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</si>
  <si>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</si>
  <si>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</si>
  <si>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</si>
  <si>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</si>
  <si>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</si>
  <si>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</si>
  <si>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</si>
  <si>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</si>
  <si>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</si>
  <si>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</si>
  <si>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</si>
  <si>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</si>
  <si>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</si>
  <si>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</si>
  <si>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</si>
  <si>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</si>
  <si>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</si>
  <si>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</si>
  <si>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</si>
  <si>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</si>
  <si>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</si>
  <si>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</si>
  <si>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</si>
  <si>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</si>
  <si>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</si>
  <si>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</si>
  <si>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</si>
  <si>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</si>
  <si>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</si>
  <si>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</si>
  <si>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</si>
  <si>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</si>
  <si>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</si>
  <si>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</si>
  <si>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</si>
  <si>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</si>
  <si>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</si>
  <si>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</si>
  <si>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</si>
  <si>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</si>
  <si>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</si>
  <si>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</si>
  <si>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</si>
  <si>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</si>
  <si>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</si>
  <si>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</si>
  <si>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</si>
  <si>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</si>
  <si>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</si>
  <si>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</si>
  <si>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</si>
  <si>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</si>
  <si>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</si>
  <si>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</si>
  <si>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</si>
  <si>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</si>
  <si>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</si>
  <si>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</si>
  <si>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</si>
  <si>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</si>
  <si>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</si>
  <si>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</si>
  <si>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</si>
  <si>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</si>
  <si>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</si>
  <si>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</si>
  <si>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</si>
  <si>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</si>
  <si>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</si>
  <si>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</si>
  <si>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</si>
  <si>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</si>
  <si>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</si>
  <si>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</si>
  <si>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</si>
  <si>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</si>
  <si>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</si>
  <si>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</si>
  <si>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</si>
  <si>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</si>
  <si>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</si>
  <si>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</si>
  <si>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</si>
  <si>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</si>
  <si>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</si>
  <si>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</si>
  <si>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</si>
  <si>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</si>
  <si>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</si>
  <si>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</si>
  <si>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</si>
  <si>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</si>
  <si>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</si>
  <si>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</si>
  <si>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</si>
  <si>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</si>
  <si>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</si>
  <si>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</si>
  <si>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</si>
  <si>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</si>
  <si>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</si>
  <si>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</si>
  <si>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</si>
  <si>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</si>
  <si>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</si>
  <si>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</si>
  <si>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</si>
  <si>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</si>
  <si>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</si>
  <si>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</si>
  <si>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</si>
  <si>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</si>
  <si>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</si>
  <si>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</si>
  <si>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</si>
  <si>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</si>
  <si>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</si>
  <si>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</si>
  <si>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</si>
  <si>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</si>
  <si>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</si>
  <si>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</si>
  <si>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</si>
  <si>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</si>
  <si>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</si>
  <si>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</si>
  <si>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</si>
  <si>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</si>
  <si>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</si>
  <si>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</si>
  <si>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</si>
  <si>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</si>
  <si>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</si>
  <si>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</si>
  <si>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</si>
  <si>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</si>
  <si>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</si>
  <si>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</si>
  <si>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</si>
  <si>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</si>
  <si>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</si>
  <si>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</si>
  <si>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</si>
  <si>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</si>
  <si>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</si>
  <si>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</si>
  <si>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</si>
  <si>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</si>
  <si>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</si>
  <si>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</si>
  <si>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</si>
  <si>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</si>
  <si>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</si>
  <si>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</si>
  <si>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</si>
  <si>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</si>
  <si>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</si>
  <si>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</si>
  <si>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</si>
  <si>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</si>
  <si>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</si>
  <si>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</si>
  <si>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</si>
  <si>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</si>
  <si>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</si>
  <si>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</si>
  <si>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</si>
  <si>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</si>
  <si>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</si>
  <si>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</si>
  <si>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</si>
  <si>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</si>
  <si>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</si>
  <si>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</si>
  <si>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</si>
  <si>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</si>
  <si>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</si>
  <si>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</si>
  <si>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</si>
  <si>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</si>
  <si>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</si>
  <si>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</si>
  <si>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</si>
  <si>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</si>
  <si>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</si>
  <si>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</si>
  <si>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</si>
  <si>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</si>
  <si>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</si>
  <si>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</si>
  <si>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</si>
  <si>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</si>
  <si>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</si>
  <si>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</si>
  <si>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</si>
  <si>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</si>
  <si>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</si>
  <si>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</si>
  <si>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</si>
  <si>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</si>
  <si>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</si>
  <si>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</si>
  <si>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</si>
  <si>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</si>
  <si>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</si>
  <si>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</si>
  <si>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</si>
  <si>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</si>
  <si>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</si>
  <si>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</si>
  <si>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</si>
  <si>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</si>
  <si>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</si>
  <si>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</si>
  <si>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</si>
  <si>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</si>
  <si>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</si>
  <si>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</si>
  <si>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</si>
  <si>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</si>
  <si>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</si>
  <si>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</si>
  <si>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</si>
  <si>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</si>
  <si>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</si>
  <si>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</si>
  <si>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</si>
  <si>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</si>
  <si>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</si>
  <si>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</si>
  <si>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</si>
  <si>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</si>
  <si>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</si>
  <si>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</si>
  <si>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</si>
  <si>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</si>
  <si>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</si>
  <si>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</si>
  <si>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</si>
  <si>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</si>
  <si>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</si>
  <si>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</si>
  <si>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</si>
  <si>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</si>
  <si>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</si>
  <si>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</si>
  <si>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</si>
  <si>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</si>
  <si>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</si>
  <si>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</si>
  <si>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</si>
  <si>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</si>
  <si>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</si>
  <si>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</si>
  <si>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</si>
  <si>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</si>
  <si>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</si>
  <si>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</si>
  <si>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</si>
  <si>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</si>
  <si>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</si>
  <si>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</si>
  <si>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</si>
  <si>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</si>
  <si>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</si>
  <si>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</si>
  <si>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</si>
  <si>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</si>
  <si>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</si>
  <si>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</si>
  <si>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</si>
  <si>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</si>
  <si>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</si>
  <si>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</si>
  <si>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</si>
  <si>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</si>
  <si>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</si>
  <si>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</si>
  <si>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</si>
  <si>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</si>
  <si>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</si>
  <si>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</si>
  <si>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</si>
  <si>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</si>
  <si>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</si>
  <si>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</si>
  <si>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</si>
  <si>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</si>
  <si>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</si>
  <si>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</si>
  <si>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</si>
  <si>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</si>
  <si>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</si>
  <si>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</si>
  <si>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</si>
  <si>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</si>
  <si>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</si>
  <si>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</si>
  <si>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</si>
  <si>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</si>
  <si>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</si>
  <si>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</si>
  <si>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</si>
  <si>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</si>
  <si>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</si>
  <si>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</si>
  <si>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</si>
  <si>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</si>
  <si>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</si>
  <si>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</si>
  <si>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</si>
  <si>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</si>
  <si>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</si>
  <si>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</si>
  <si>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</si>
  <si>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</si>
  <si>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</si>
  <si>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</si>
  <si>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</si>
  <si>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</si>
  <si>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</si>
  <si>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</si>
  <si>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</si>
  <si>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</si>
  <si>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</si>
  <si>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</si>
  <si>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</si>
  <si>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</si>
  <si>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</si>
  <si>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</si>
  <si>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</si>
  <si>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</si>
  <si>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</si>
  <si>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</si>
  <si>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</si>
  <si>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</si>
  <si>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</si>
  <si>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</si>
  <si>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</si>
  <si>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</si>
  <si>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</si>
  <si>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</si>
  <si>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</si>
  <si>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</si>
  <si>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</si>
  <si>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</si>
  <si>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</si>
  <si>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</si>
  <si>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</si>
  <si>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</si>
  <si>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</si>
  <si>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</si>
  <si>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</si>
  <si>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</si>
  <si>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</si>
  <si>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</si>
  <si>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</si>
  <si>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</si>
  <si>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</si>
  <si>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</si>
  <si>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</si>
  <si>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</si>
  <si>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</si>
  <si>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</si>
  <si>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</si>
  <si>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</si>
  <si>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</si>
  <si>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</si>
  <si>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</si>
  <si>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</si>
  <si>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</si>
  <si>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</si>
  <si>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</si>
  <si>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</si>
  <si>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</si>
  <si>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</si>
  <si>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</si>
  <si>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</si>
  <si>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</si>
  <si>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</si>
  <si>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</si>
  <si>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</si>
  <si>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</si>
  <si>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</si>
  <si>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</si>
  <si>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</si>
  <si>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</si>
  <si>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</si>
  <si>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</si>
  <si>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</si>
  <si>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</si>
  <si>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</si>
  <si>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</si>
  <si>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</si>
  <si>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</si>
  <si>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</si>
  <si>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</si>
  <si>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</si>
  <si>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</si>
  <si>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</si>
  <si>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</si>
  <si>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</si>
  <si>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</si>
  <si>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</si>
  <si>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</si>
  <si>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</si>
  <si>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</si>
  <si>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</si>
  <si>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</si>
  <si>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</si>
  <si>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</si>
  <si>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</si>
  <si>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</si>
  <si>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</si>
  <si>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</si>
  <si>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</si>
  <si>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</si>
  <si>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</si>
  <si>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</si>
  <si>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</si>
  <si>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</si>
  <si>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</si>
  <si>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</si>
  <si>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</si>
  <si>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</si>
  <si>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</si>
  <si>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</si>
  <si>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</si>
  <si>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</si>
  <si>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</si>
  <si>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</si>
  <si>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</si>
  <si>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</si>
  <si>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</si>
  <si>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</si>
  <si>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</si>
  <si>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</si>
  <si>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</si>
  <si>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</si>
  <si>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</si>
  <si>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</si>
  <si>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</si>
  <si>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</si>
  <si>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</si>
  <si>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</si>
  <si>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</si>
  <si>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</si>
  <si>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</si>
  <si>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</si>
  <si>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</si>
  <si>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</si>
  <si>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</si>
  <si>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</si>
  <si>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</si>
  <si>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</si>
  <si>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</si>
  <si>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</si>
  <si>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</si>
  <si>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</si>
  <si>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</si>
  <si>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</si>
  <si>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</si>
  <si>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</si>
  <si>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</si>
  <si>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</si>
  <si>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</si>
  <si>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</si>
  <si>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</si>
  <si>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</si>
  <si>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</si>
  <si>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</si>
  <si>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</si>
  <si>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</si>
  <si>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</si>
  <si>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</si>
  <si>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</si>
  <si>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</si>
  <si>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</si>
  <si>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</si>
  <si>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</si>
  <si>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</si>
  <si>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</si>
  <si>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</si>
  <si>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</si>
  <si>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</si>
  <si>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</si>
  <si>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</si>
  <si>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</si>
  <si>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</si>
  <si>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</si>
  <si>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</si>
  <si>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</si>
  <si>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</si>
  <si>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</si>
  <si>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</si>
  <si>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</si>
  <si>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</si>
  <si>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</si>
  <si>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</si>
  <si>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</si>
  <si>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</si>
  <si>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</si>
  <si>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</si>
  <si>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</si>
  <si>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</si>
  <si>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</si>
  <si>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</si>
  <si>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</si>
  <si>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</si>
  <si>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</si>
  <si>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</si>
  <si>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</si>
  <si>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</si>
  <si>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</si>
  <si>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</si>
  <si>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</si>
  <si>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</si>
  <si>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</si>
  <si>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</si>
  <si>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</si>
  <si>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</si>
  <si>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</si>
  <si>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</si>
  <si>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</si>
  <si>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</si>
  <si>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</si>
  <si>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</si>
  <si>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</si>
  <si>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</si>
  <si>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</si>
  <si>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</si>
  <si>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</si>
  <si>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</si>
  <si>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</si>
  <si>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</si>
  <si>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</si>
  <si>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</si>
  <si>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</si>
  <si>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</si>
  <si>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</si>
  <si>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</si>
  <si>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</si>
  <si>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</si>
  <si>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</si>
  <si>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</si>
  <si>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</si>
  <si>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</si>
  <si>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</si>
  <si>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</si>
  <si>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</si>
  <si>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</si>
  <si>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</si>
  <si>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</si>
  <si>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</si>
  <si>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</si>
  <si>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</si>
  <si>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</si>
  <si>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</si>
  <si>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</si>
  <si>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</si>
  <si>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</si>
  <si>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</si>
  <si>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</si>
  <si>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</si>
  <si>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</si>
  <si>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</si>
  <si>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</si>
  <si>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</si>
  <si>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</si>
  <si>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</si>
  <si>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</si>
  <si>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</si>
  <si>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</si>
  <si>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</si>
  <si>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</si>
  <si>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</si>
  <si>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</si>
  <si>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</si>
  <si>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</si>
  <si>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</si>
  <si>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</si>
  <si>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</si>
  <si>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</si>
  <si>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</si>
  <si>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</si>
  <si>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</si>
  <si>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</si>
  <si>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</si>
  <si>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</si>
  <si>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</si>
  <si>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</si>
  <si>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</si>
  <si>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</si>
  <si>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</si>
  <si>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</si>
  <si>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</si>
  <si>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</si>
  <si>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</si>
  <si>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</si>
  <si>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</si>
  <si>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</si>
  <si>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</si>
  <si>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</si>
  <si>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</si>
  <si>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</si>
  <si>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</si>
  <si>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</si>
  <si>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</si>
  <si>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</si>
  <si>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</si>
  <si>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</si>
  <si>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</si>
  <si>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</si>
  <si>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</si>
  <si>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</si>
  <si>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</si>
  <si>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</si>
  <si>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</si>
  <si>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</si>
  <si>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</si>
  <si>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</si>
  <si>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</si>
  <si>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</si>
  <si>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</si>
  <si>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</si>
  <si>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</si>
  <si>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</si>
  <si>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</si>
  <si>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</si>
  <si>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</si>
  <si>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</si>
  <si>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</si>
  <si>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</si>
  <si>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</si>
  <si>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</si>
  <si>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</si>
  <si>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</si>
  <si>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</si>
  <si>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</si>
  <si>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</si>
  <si>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</si>
  <si>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</si>
  <si>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</si>
  <si>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</si>
  <si>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</si>
  <si>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</si>
  <si>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</si>
  <si>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</si>
  <si>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</si>
  <si>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</si>
  <si>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</si>
  <si>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</si>
  <si>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</si>
  <si>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</si>
  <si>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</si>
  <si>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</si>
  <si>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</si>
  <si>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</si>
  <si>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</si>
  <si>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</si>
  <si>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</si>
  <si>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</si>
  <si>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</si>
  <si>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</si>
  <si>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</si>
  <si>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</si>
  <si>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</si>
  <si>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</si>
  <si>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</si>
  <si>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</si>
  <si>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</si>
  <si>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</si>
  <si>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</si>
  <si>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</si>
  <si>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</si>
  <si>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</si>
  <si>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</si>
  <si>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</si>
  <si>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</si>
  <si>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</si>
  <si>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</si>
  <si>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</si>
  <si>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</si>
  <si>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</si>
  <si>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</si>
  <si>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</si>
  <si>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</si>
  <si>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</si>
  <si>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</si>
  <si>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</si>
  <si>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</si>
  <si>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</si>
  <si>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</si>
  <si>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</si>
  <si>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</si>
  <si>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</si>
  <si>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</si>
  <si>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</si>
  <si>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</si>
  <si>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</si>
  <si>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</si>
  <si>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</si>
  <si>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</si>
  <si>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</si>
  <si>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</si>
  <si>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</si>
  <si>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</si>
  <si>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</si>
  <si>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</si>
  <si>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</si>
  <si>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</si>
  <si>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</si>
  <si>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</si>
  <si>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</si>
  <si>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</si>
  <si>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</si>
  <si>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</si>
  <si>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</si>
  <si>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</si>
  <si>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</si>
  <si>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</si>
  <si>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</si>
  <si>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</si>
  <si>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</si>
  <si>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</si>
  <si>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</si>
  <si>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</si>
  <si>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</si>
  <si>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</si>
  <si>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</si>
  <si>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</si>
  <si>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</si>
  <si>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</si>
  <si>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</si>
  <si>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</si>
  <si>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</si>
  <si>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</si>
  <si>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</si>
  <si>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</si>
  <si>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</si>
  <si>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</si>
  <si>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</si>
  <si>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</si>
  <si>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</si>
  <si>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</si>
  <si>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</si>
  <si>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</si>
  <si>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</si>
  <si>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</si>
  <si>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</si>
  <si>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</si>
  <si>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</si>
  <si>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</si>
  <si>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</si>
  <si>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</si>
  <si>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</si>
  <si>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</si>
  <si>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</si>
  <si>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</si>
  <si>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</si>
  <si>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</si>
  <si>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</si>
  <si>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</si>
  <si>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</si>
  <si>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</si>
  <si>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</si>
  <si>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</si>
  <si>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</si>
  <si>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</si>
  <si>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</si>
  <si>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</si>
  <si>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</si>
  <si>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</si>
  <si>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</si>
  <si>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</si>
  <si>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</si>
  <si>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</si>
  <si>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</si>
  <si>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</si>
  <si>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</si>
  <si>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</si>
  <si>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</si>
  <si>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</si>
  <si>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</si>
  <si>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</si>
  <si>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</si>
  <si>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</si>
  <si>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</si>
  <si>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</si>
  <si>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</si>
  <si>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</si>
  <si>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</si>
  <si>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</si>
  <si>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</si>
  <si>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</si>
  <si>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</si>
  <si>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</si>
  <si>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</si>
  <si>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</si>
  <si>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</si>
  <si>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</si>
  <si>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</si>
  <si>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</si>
  <si>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</si>
  <si>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</si>
  <si>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</si>
  <si>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</si>
  <si>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</si>
  <si>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</si>
  <si>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</si>
  <si>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</si>
  <si>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</si>
  <si>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</si>
  <si>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</si>
  <si>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</si>
  <si>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</si>
  <si>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</si>
  <si>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</si>
  <si>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</si>
  <si>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</si>
  <si>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</si>
  <si>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</si>
  <si>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</si>
  <si>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</si>
  <si>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</si>
  <si>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</si>
  <si>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</si>
  <si>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</si>
  <si>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</si>
  <si>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</si>
  <si>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</si>
  <si>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</si>
  <si>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</si>
  <si>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</si>
  <si>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</si>
  <si>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</si>
  <si>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</si>
  <si>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</si>
  <si>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</si>
  <si>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</si>
  <si>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</si>
  <si>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</si>
  <si>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</si>
  <si>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</si>
  <si>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</si>
  <si>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</si>
  <si>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</si>
  <si>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</si>
  <si>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</si>
  <si>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</si>
  <si>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</si>
  <si>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</si>
  <si>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</si>
  <si>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</si>
  <si>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</si>
  <si>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</si>
  <si>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</si>
  <si>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</si>
  <si>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</si>
  <si>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</si>
  <si>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</si>
  <si>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</si>
  <si>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</si>
  <si>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</si>
  <si>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</si>
  <si>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</si>
  <si>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</si>
  <si>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</si>
  <si>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</si>
  <si>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</si>
  <si>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</si>
  <si>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</si>
  <si>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</si>
  <si>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</si>
  <si>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</si>
  <si>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</si>
  <si>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</si>
  <si>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</si>
  <si>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</si>
  <si>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</si>
  <si>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</si>
  <si>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</si>
  <si>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</si>
  <si>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</si>
  <si>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</si>
  <si>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</si>
  <si>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</si>
  <si>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</si>
  <si>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</si>
  <si>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</si>
  <si>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</si>
  <si>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</si>
  <si>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</si>
  <si>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</si>
  <si>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</si>
  <si>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</si>
  <si>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</si>
  <si>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</si>
  <si>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</si>
  <si>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</si>
  <si>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</si>
  <si>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</si>
  <si>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</si>
  <si>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</si>
  <si>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</si>
  <si>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</si>
  <si>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</si>
  <si>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</si>
  <si>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</si>
  <si>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</si>
  <si>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</si>
  <si>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</si>
  <si>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</si>
  <si>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</si>
  <si>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</si>
  <si>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</si>
  <si>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</si>
  <si>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</si>
  <si>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</si>
  <si>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</si>
  <si>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</si>
  <si>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</si>
  <si>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</si>
  <si>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</si>
  <si>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</si>
  <si>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</si>
  <si>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</si>
  <si>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</si>
  <si>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</si>
  <si>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</si>
  <si>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</si>
  <si>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</si>
  <si>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</si>
  <si>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</si>
  <si>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</si>
  <si>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</si>
  <si>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</si>
  <si>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</si>
  <si>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</si>
  <si>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</si>
  <si>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</si>
  <si>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</si>
  <si>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</si>
  <si>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</si>
  <si>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</si>
  <si>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</si>
  <si>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</si>
  <si>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</si>
  <si>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</si>
  <si>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</si>
  <si>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</si>
  <si>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</si>
  <si>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</si>
  <si>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</si>
  <si>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</si>
  <si>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</si>
  <si>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</si>
  <si>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</si>
  <si>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</si>
  <si>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</si>
  <si>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</si>
  <si>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</si>
  <si>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</si>
  <si>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</si>
  <si>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</si>
  <si>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</si>
  <si>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</si>
  <si>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</si>
  <si>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</si>
  <si>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</si>
  <si>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</si>
  <si>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</si>
  <si>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</si>
  <si>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</si>
  <si>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</si>
  <si>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</si>
  <si>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</si>
  <si>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</si>
  <si>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</si>
  <si>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</si>
  <si>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</si>
  <si>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</si>
  <si>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</si>
  <si>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</si>
  <si>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</si>
  <si>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</si>
  <si>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</si>
  <si>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</si>
  <si>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</si>
  <si>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</si>
  <si>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</si>
  <si>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</si>
  <si>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</si>
  <si>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</si>
  <si>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</si>
  <si>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</si>
  <si>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</si>
  <si>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</si>
  <si>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</si>
  <si>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</si>
  <si>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</si>
  <si>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</si>
  <si>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</si>
  <si>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</si>
  <si>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</si>
  <si>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</si>
  <si>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</si>
  <si>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</si>
  <si>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</si>
  <si>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</si>
  <si>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</si>
  <si>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</si>
  <si>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</si>
  <si>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</si>
  <si>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</si>
  <si>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</si>
  <si>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</si>
  <si>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</si>
  <si>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</si>
  <si>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</si>
  <si>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</si>
  <si>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</si>
  <si>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</si>
  <si>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</si>
  <si>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</si>
  <si>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</si>
  <si>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</si>
  <si>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</si>
  <si>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</si>
  <si>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</si>
  <si>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</si>
  <si>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</si>
  <si>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</si>
  <si>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</si>
  <si>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</si>
  <si>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</si>
  <si>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</si>
  <si>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</si>
  <si>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</si>
  <si>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</si>
  <si>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</si>
  <si>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</si>
  <si>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</si>
  <si>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</si>
  <si>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</si>
  <si>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</si>
  <si>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</si>
  <si>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</si>
  <si>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</si>
  <si>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</si>
  <si>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</si>
  <si>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</si>
  <si>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</si>
  <si>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</si>
  <si>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</si>
  <si>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</si>
  <si>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</si>
  <si>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</si>
  <si>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</si>
  <si>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</si>
  <si>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</si>
  <si>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</si>
  <si>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</si>
  <si>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</si>
  <si>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</si>
  <si>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</si>
  <si>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</si>
  <si>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</si>
  <si>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</si>
  <si>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</si>
  <si>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</si>
  <si>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</si>
  <si>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</si>
  <si>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</si>
  <si>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</si>
  <si>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</si>
  <si>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</si>
  <si>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</si>
  <si>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</si>
  <si>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</si>
  <si>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</si>
  <si>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</si>
  <si>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</si>
  <si>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</si>
  <si>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</si>
  <si>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</si>
  <si>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</si>
  <si>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</si>
  <si>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</si>
  <si>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</si>
  <si>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</si>
  <si>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</si>
  <si>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</si>
  <si>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</si>
  <si>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</si>
  <si>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</si>
  <si>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</si>
  <si>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</si>
  <si>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</si>
  <si>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</si>
  <si>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</si>
  <si>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</si>
  <si>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</si>
  <si>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</si>
  <si>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</si>
  <si>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</si>
  <si>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</si>
  <si>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</si>
  <si>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</si>
  <si>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</si>
  <si>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</si>
  <si>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</si>
  <si>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</si>
  <si>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</si>
  <si>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</si>
  <si>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</si>
  <si>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</si>
  <si>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</si>
  <si>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</si>
  <si>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</si>
  <si>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</si>
  <si>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</si>
  <si>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</si>
  <si>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</si>
  <si>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</si>
  <si>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</si>
  <si>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</si>
  <si>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</si>
  <si>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</si>
  <si>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</si>
  <si>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</si>
  <si>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</si>
  <si>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</si>
  <si>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</si>
  <si>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</si>
  <si>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</si>
  <si>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</si>
  <si>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</si>
  <si>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</si>
  <si>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</si>
  <si>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</si>
  <si>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</si>
  <si>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</si>
  <si>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</si>
  <si>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</si>
  <si>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</si>
  <si>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</si>
  <si>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</si>
  <si>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</si>
  <si>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</si>
  <si>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</si>
  <si>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</si>
  <si>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</si>
  <si>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</si>
  <si>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</si>
  <si>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</si>
  <si>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</si>
  <si>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</si>
  <si>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</si>
  <si>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</si>
  <si>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</si>
  <si>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</si>
  <si>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</si>
  <si>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</si>
  <si>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</si>
  <si>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</si>
  <si>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</si>
  <si>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</si>
  <si>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</si>
  <si>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</si>
  <si>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</si>
  <si>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</si>
  <si>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</si>
  <si>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</si>
  <si>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</si>
  <si>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</si>
  <si>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</si>
  <si>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</si>
  <si>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</si>
  <si>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</si>
  <si>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</si>
  <si>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</si>
  <si>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</si>
  <si>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</si>
  <si>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</si>
  <si>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</si>
  <si>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</si>
  <si>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</si>
  <si>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</si>
  <si>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</si>
  <si>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</si>
  <si>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</si>
  <si>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</si>
  <si>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</si>
  <si>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</si>
  <si>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</si>
  <si>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</si>
  <si>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</si>
  <si>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</si>
  <si>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</si>
  <si>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</si>
  <si>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</si>
  <si>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</si>
  <si>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</si>
  <si>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</si>
  <si>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</si>
  <si>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</si>
  <si>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</si>
  <si>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</si>
  <si>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</si>
  <si>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</si>
  <si>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</si>
  <si>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</si>
  <si>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</si>
  <si>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</si>
  <si>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</si>
  <si>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</si>
  <si>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</si>
  <si>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</si>
  <si>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</si>
  <si>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</si>
  <si>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</si>
  <si>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</si>
  <si>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</si>
  <si>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</si>
  <si>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</si>
  <si>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</si>
  <si>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</si>
  <si>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</si>
  <si>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</si>
  <si>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</si>
  <si>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</si>
  <si>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</si>
  <si>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</si>
  <si>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</si>
  <si>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</si>
  <si>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</si>
  <si>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</si>
  <si>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</si>
  <si>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</si>
  <si>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</si>
  <si>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</si>
  <si>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</si>
  <si>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</si>
  <si>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</si>
  <si>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</si>
  <si>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</si>
  <si>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</si>
  <si>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</si>
  <si>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</si>
  <si>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</si>
  <si>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</si>
  <si>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</si>
  <si>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</si>
  <si>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</si>
  <si>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</si>
  <si>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</si>
  <si>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</si>
  <si>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</si>
  <si>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</si>
  <si>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</si>
  <si>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</si>
  <si>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</si>
  <si>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</si>
  <si>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</si>
  <si>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</si>
  <si>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</si>
  <si>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</si>
  <si>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</si>
  <si>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</si>
  <si>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</si>
  <si>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</si>
  <si>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</si>
  <si>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</si>
  <si>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</si>
  <si>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</si>
  <si>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</si>
  <si>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</si>
  <si>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</si>
  <si>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</si>
  <si>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</si>
  <si>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</si>
  <si>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</si>
  <si>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</si>
  <si>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</si>
  <si>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</si>
  <si>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</si>
  <si>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</si>
  <si>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</si>
  <si>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</si>
  <si>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</si>
  <si>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</si>
  <si>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</si>
  <si>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</si>
  <si>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</si>
  <si>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</si>
  <si>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</si>
  <si>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</si>
  <si>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</si>
  <si>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</si>
  <si>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</si>
  <si>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</si>
  <si>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</si>
  <si>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</si>
  <si>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</si>
  <si>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</si>
  <si>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</si>
  <si>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</si>
  <si>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</si>
  <si>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</si>
  <si>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</si>
  <si>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</si>
  <si>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</si>
  <si>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</si>
  <si>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</si>
  <si>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</si>
  <si>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</si>
  <si>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</si>
  <si>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</si>
  <si>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</si>
  <si>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</si>
  <si>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</si>
  <si>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</si>
  <si>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</si>
  <si>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</si>
  <si>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</si>
  <si>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</si>
  <si>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</si>
  <si>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</si>
  <si>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</si>
  <si>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</si>
  <si>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</si>
  <si>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</si>
  <si>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</si>
  <si>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</si>
  <si>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</si>
  <si>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</si>
  <si>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</si>
  <si>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</si>
  <si>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</si>
  <si>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</si>
  <si>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</si>
  <si>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</si>
  <si>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</si>
  <si>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</si>
  <si>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</si>
  <si>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</si>
  <si>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</si>
  <si>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</si>
  <si>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</si>
  <si>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</si>
  <si>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</si>
  <si>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</si>
  <si>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</si>
  <si>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</si>
  <si>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</si>
  <si>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</si>
  <si>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</si>
  <si>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</si>
  <si>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</si>
  <si>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</si>
  <si>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</si>
  <si>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</si>
  <si>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</si>
  <si>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</si>
  <si>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</si>
  <si>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</si>
  <si>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</si>
  <si>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</si>
  <si>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</si>
  <si>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</si>
  <si>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</si>
  <si>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</si>
  <si>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</si>
  <si>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</si>
  <si>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</si>
  <si>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</si>
  <si>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</si>
  <si>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</si>
  <si>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</si>
  <si>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</si>
  <si>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</si>
  <si>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</si>
  <si>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</si>
  <si>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</si>
  <si>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</si>
  <si>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</si>
  <si>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</si>
  <si>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</si>
  <si>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</si>
  <si>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</si>
  <si>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</si>
  <si>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</si>
  <si>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</si>
  <si>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</si>
  <si>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</si>
  <si>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</si>
  <si>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</si>
  <si>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</si>
  <si>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</si>
  <si>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</si>
  <si>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</si>
  <si>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</si>
  <si>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</si>
  <si>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</si>
  <si>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</si>
  <si>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</si>
  <si>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</si>
  <si>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</si>
  <si>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</si>
  <si>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</si>
  <si>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</si>
  <si>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</si>
  <si>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</si>
  <si>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</si>
  <si>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</si>
  <si>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</si>
  <si>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</si>
  <si>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</si>
  <si>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</si>
  <si>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</si>
  <si>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</si>
  <si>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</si>
  <si>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</si>
  <si>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</si>
  <si>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</si>
  <si>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</si>
  <si>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</si>
  <si>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</si>
  <si>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</si>
  <si>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</si>
  <si>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</si>
  <si>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</si>
  <si>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</si>
  <si>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</si>
  <si>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</si>
  <si>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</si>
  <si>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</si>
  <si>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</si>
  <si>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</si>
  <si>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</si>
  <si>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</si>
  <si>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</si>
  <si>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</si>
  <si>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</si>
  <si>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</si>
  <si>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</si>
  <si>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</si>
  <si>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</si>
  <si>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</si>
  <si>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</si>
  <si>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</si>
  <si>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</si>
  <si>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</si>
  <si>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</si>
  <si>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</si>
  <si>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</si>
  <si>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</si>
  <si>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</si>
  <si>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</si>
  <si>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</si>
  <si>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</si>
  <si>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</si>
  <si>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</si>
  <si>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</si>
  <si>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</si>
  <si>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</si>
  <si>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</si>
  <si>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</si>
  <si>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</si>
  <si>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</si>
  <si>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</si>
  <si>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</si>
  <si>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</si>
  <si>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</si>
  <si>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</si>
  <si>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</si>
  <si>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</si>
  <si>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</si>
  <si>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</si>
  <si>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</si>
  <si>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</si>
  <si>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</si>
  <si>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</si>
  <si>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</si>
  <si>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</si>
  <si>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</si>
  <si>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</si>
  <si>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</si>
  <si>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</si>
  <si>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</si>
  <si>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</si>
  <si>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</si>
  <si>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</si>
  <si>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</si>
  <si>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</si>
  <si>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</si>
  <si>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</si>
  <si>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</si>
  <si>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</si>
  <si>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</si>
  <si>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</si>
  <si>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</si>
  <si>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</si>
  <si>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</si>
  <si>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</si>
  <si>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</si>
  <si>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</si>
  <si>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</si>
  <si>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</si>
  <si>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</si>
  <si>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</si>
  <si>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</si>
  <si>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</si>
  <si>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</si>
  <si>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</si>
  <si>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</si>
  <si>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</si>
  <si>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</si>
  <si>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</si>
  <si>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</si>
  <si>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</si>
  <si>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</si>
  <si>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</si>
  <si>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</si>
  <si>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</si>
  <si>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</si>
  <si>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</si>
  <si>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</si>
  <si>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</si>
  <si>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</si>
  <si>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</si>
  <si>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</si>
  <si>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</si>
  <si>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</si>
  <si>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</si>
  <si>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</si>
  <si>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</si>
  <si>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</si>
  <si>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</si>
  <si>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</si>
  <si>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</si>
  <si>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</si>
  <si>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</si>
  <si>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</si>
  <si>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</si>
  <si>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</si>
  <si>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</si>
  <si>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</si>
  <si>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</si>
  <si>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</si>
  <si>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</si>
  <si>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</si>
  <si>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</si>
  <si>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</si>
  <si>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</si>
  <si>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</si>
  <si>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</si>
  <si>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</si>
  <si>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</si>
  <si>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</si>
  <si>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</si>
  <si>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</si>
  <si>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</si>
  <si>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</si>
  <si>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</si>
  <si>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</si>
  <si>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</si>
  <si>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</si>
  <si>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</si>
  <si>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</si>
  <si>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</si>
  <si>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</si>
  <si>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</si>
  <si>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</si>
  <si>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</si>
  <si>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</si>
  <si>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</si>
  <si>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</si>
  <si>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</si>
  <si>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</si>
  <si>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</si>
  <si>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</si>
  <si>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</si>
  <si>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</si>
  <si>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</si>
  <si>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</si>
  <si>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</si>
  <si>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</si>
  <si>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</si>
  <si>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</si>
  <si>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</si>
  <si>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</si>
  <si>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</si>
  <si>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</si>
  <si>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</si>
  <si>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</si>
  <si>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</si>
  <si>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</si>
  <si>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</si>
  <si>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</si>
  <si>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</si>
  <si>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</si>
  <si>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</si>
  <si>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</si>
  <si>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</si>
  <si>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</si>
  <si>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</si>
  <si>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</si>
  <si>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</si>
  <si>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</si>
  <si>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</si>
  <si>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</si>
  <si>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</si>
  <si>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</si>
  <si>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</si>
  <si>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</si>
  <si>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</si>
  <si>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</si>
  <si>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</si>
  <si>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</si>
  <si>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</si>
  <si>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</si>
  <si>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</si>
  <si>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</si>
  <si>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</si>
  <si>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</si>
  <si>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</si>
  <si>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</si>
  <si>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</si>
  <si>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</si>
  <si>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</si>
  <si>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</si>
  <si>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</si>
  <si>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</si>
  <si>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</si>
  <si>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</si>
  <si>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</si>
  <si>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</si>
  <si>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</si>
  <si>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</si>
  <si>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</si>
  <si>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</si>
  <si>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</si>
  <si>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</si>
  <si>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</si>
  <si>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</si>
  <si>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</si>
  <si>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</si>
  <si>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</si>
  <si>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</si>
  <si>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</si>
  <si>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</si>
  <si>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</si>
  <si>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</si>
  <si>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</si>
  <si>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</si>
  <si>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</si>
  <si>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</si>
  <si>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</si>
  <si>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</si>
  <si>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</si>
  <si>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</si>
  <si>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</si>
  <si>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</si>
  <si>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</si>
  <si>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</si>
  <si>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</si>
  <si>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</si>
  <si>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</si>
  <si>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</si>
  <si>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</si>
  <si>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</si>
  <si>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</si>
  <si>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</si>
  <si>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</si>
  <si>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</si>
  <si>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</si>
  <si>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</si>
  <si>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</si>
  <si>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</si>
  <si>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</si>
  <si>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</si>
  <si>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</si>
  <si>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</si>
  <si>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</si>
  <si>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</si>
  <si>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</si>
  <si>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</si>
  <si>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</si>
  <si>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</si>
  <si>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</si>
  <si>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</si>
  <si>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</si>
  <si>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</si>
  <si>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</si>
  <si>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</si>
  <si>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</si>
  <si>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</si>
  <si>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</si>
  <si>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</si>
  <si>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</si>
  <si>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</si>
  <si>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</si>
  <si>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</si>
  <si>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</si>
  <si>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</si>
  <si>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</si>
  <si>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</si>
  <si>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</si>
  <si>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</si>
  <si>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</si>
  <si>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</si>
  <si>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</si>
  <si>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</si>
  <si>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</si>
  <si>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</si>
  <si>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</si>
  <si>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</si>
  <si>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</si>
  <si>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</si>
  <si>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</si>
  <si>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</si>
  <si>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</si>
  <si>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</si>
  <si>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</si>
  <si>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</si>
  <si>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</si>
  <si>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</si>
  <si>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</si>
  <si>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</si>
  <si>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</si>
  <si>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</si>
  <si>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</si>
  <si>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</si>
  <si>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</si>
  <si>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</si>
  <si>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</si>
  <si>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</si>
  <si>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</si>
  <si>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</si>
  <si>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</si>
  <si>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</si>
  <si>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</si>
  <si>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</si>
  <si>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</si>
  <si>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</si>
  <si>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</si>
  <si>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</si>
  <si>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</si>
  <si>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</si>
  <si>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</si>
  <si>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</si>
  <si>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</si>
  <si>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</si>
  <si>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</si>
  <si>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</si>
  <si>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</si>
  <si>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</si>
  <si>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</si>
  <si>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</si>
  <si>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</si>
  <si>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</si>
  <si>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</si>
  <si>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</si>
  <si>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</si>
  <si>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</si>
  <si>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</si>
  <si>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</si>
  <si>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</si>
  <si>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</si>
  <si>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</si>
  <si>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</si>
  <si>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</si>
  <si>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</si>
  <si>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</si>
  <si>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</si>
  <si>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</si>
  <si>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</si>
  <si>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</si>
  <si>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</si>
  <si>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</si>
  <si>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</si>
  <si>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</si>
  <si>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</si>
  <si>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</si>
  <si>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</si>
  <si>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</si>
  <si>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</si>
  <si>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</si>
  <si>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</si>
  <si>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</si>
  <si>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</si>
  <si>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</si>
  <si>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</si>
  <si>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</si>
  <si>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</si>
  <si>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</si>
  <si>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</si>
  <si>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</si>
  <si>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</si>
  <si>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</si>
  <si>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</si>
  <si>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</si>
  <si>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</si>
  <si>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</si>
  <si>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</si>
  <si>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</si>
  <si>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</si>
  <si>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</si>
  <si>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</si>
  <si>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</si>
  <si>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</si>
  <si>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</si>
  <si>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</si>
  <si>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</si>
  <si>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</si>
  <si>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</si>
  <si>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</si>
  <si>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</si>
  <si>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</si>
  <si>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</si>
  <si>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</si>
  <si>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</si>
  <si>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</si>
  <si>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</si>
  <si>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</si>
  <si>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</si>
  <si>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</si>
  <si>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</si>
  <si>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</si>
  <si>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</si>
  <si>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</si>
  <si>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</si>
  <si>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</si>
  <si>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</si>
  <si>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</si>
  <si>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</si>
  <si>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</si>
  <si>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</si>
  <si>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</si>
  <si>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</si>
  <si>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</si>
  <si>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</si>
  <si>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</si>
  <si>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</si>
  <si>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</si>
  <si>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</si>
  <si>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</si>
  <si>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</si>
  <si>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</si>
  <si>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</si>
  <si>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</si>
  <si>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</si>
  <si>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</si>
  <si>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</si>
  <si>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</si>
  <si>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</si>
  <si>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</si>
  <si>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</si>
  <si>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</si>
  <si>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</si>
  <si>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</si>
  <si>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</si>
  <si>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</si>
  <si>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</si>
  <si>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</si>
  <si>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</si>
  <si>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</si>
  <si>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</si>
  <si>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</si>
  <si>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</si>
  <si>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</si>
  <si>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</si>
  <si>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</si>
  <si>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</si>
  <si>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</si>
  <si>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</si>
  <si>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</si>
  <si>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</si>
  <si>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</si>
  <si>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</si>
  <si>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</si>
  <si>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</si>
  <si>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</si>
  <si>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</si>
  <si>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</si>
  <si>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</si>
  <si>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</si>
  <si>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</si>
  <si>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</si>
  <si>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</si>
  <si>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</si>
  <si>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</si>
  <si>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</si>
  <si>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</si>
  <si>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</si>
  <si>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</si>
  <si>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</si>
  <si>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</si>
  <si>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</si>
  <si>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</si>
  <si>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</si>
  <si>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</si>
  <si>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</si>
  <si>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</si>
  <si>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</si>
  <si>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</si>
  <si>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</si>
  <si>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</si>
  <si>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</si>
  <si>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</si>
  <si>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</si>
  <si>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</si>
  <si>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</si>
  <si>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</si>
  <si>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</si>
  <si>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</si>
  <si>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</si>
  <si>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</si>
  <si>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</si>
  <si>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</si>
  <si>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</si>
  <si>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</si>
  <si>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</si>
  <si>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</si>
  <si>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</si>
  <si>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</si>
  <si>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</si>
  <si>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</si>
  <si>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</si>
  <si>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</si>
  <si>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</si>
  <si>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</si>
  <si>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</si>
  <si>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</si>
  <si>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</si>
  <si>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</si>
  <si>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</si>
  <si>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</si>
  <si>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</si>
  <si>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</si>
  <si>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</si>
  <si>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</si>
  <si>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</si>
  <si>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</si>
  <si>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</si>
  <si>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</si>
  <si>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</si>
  <si>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</si>
  <si>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</si>
  <si>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</si>
  <si>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</si>
  <si>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</si>
  <si>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</si>
  <si>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</si>
  <si>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</si>
  <si>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</si>
  <si>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</si>
  <si>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</si>
  <si>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</si>
  <si>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</si>
  <si>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</si>
  <si>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</si>
  <si>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</si>
  <si>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</si>
  <si>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</si>
  <si>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</si>
  <si>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</si>
  <si>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</si>
  <si>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</si>
  <si>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</si>
  <si>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</si>
  <si>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</si>
  <si>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</si>
  <si>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</si>
  <si>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</si>
  <si>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</si>
  <si>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</si>
  <si>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</si>
  <si>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</si>
  <si>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</si>
  <si>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</si>
  <si>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</si>
  <si>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</si>
  <si>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</si>
  <si>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</si>
  <si>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</si>
  <si>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</si>
  <si>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</si>
  <si>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</si>
  <si>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</si>
  <si>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</si>
  <si>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</si>
  <si>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</si>
  <si>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</si>
  <si>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</si>
  <si>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</si>
  <si>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</si>
  <si>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</si>
  <si>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</si>
  <si>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</si>
  <si>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</si>
  <si>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</si>
  <si>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</si>
  <si>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</si>
  <si>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</si>
  <si>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</si>
  <si>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</si>
  <si>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</si>
  <si>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</si>
  <si>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</si>
  <si>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</si>
  <si>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</si>
  <si>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</si>
  <si>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</si>
  <si>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</si>
  <si>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</si>
  <si>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</si>
  <si>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</si>
  <si>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</si>
  <si>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</si>
  <si>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</si>
  <si>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</si>
  <si>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</si>
  <si>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</si>
  <si>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</si>
  <si>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</si>
  <si>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</si>
  <si>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</si>
  <si>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</si>
  <si>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</si>
  <si>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</si>
  <si>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</si>
  <si>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</si>
  <si>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</si>
  <si>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</si>
  <si>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</si>
  <si>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</si>
  <si>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</si>
  <si>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</si>
  <si>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</si>
  <si>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</si>
  <si>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</si>
  <si>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</si>
  <si>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</si>
  <si>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</si>
  <si>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</si>
  <si>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</si>
  <si>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</si>
  <si>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</si>
  <si>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</si>
  <si>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</si>
  <si>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</si>
  <si>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</si>
  <si>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</si>
  <si>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</si>
  <si>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</si>
  <si>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</si>
  <si>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</si>
  <si>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</si>
  <si>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</si>
  <si>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</si>
  <si>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</si>
  <si>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</si>
  <si>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</si>
  <si>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</si>
  <si>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</si>
  <si>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</si>
  <si>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</si>
  <si>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</si>
  <si>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</si>
  <si>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</si>
  <si>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</si>
  <si>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</si>
  <si>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</si>
  <si>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</si>
  <si>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</si>
  <si>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</si>
  <si>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</si>
  <si>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</si>
  <si>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</si>
  <si>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</si>
  <si>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</si>
  <si>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</si>
  <si>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</si>
  <si>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</si>
  <si>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</si>
  <si>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</si>
  <si>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</si>
  <si>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</si>
  <si>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</si>
  <si>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</si>
  <si>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</si>
  <si>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</si>
  <si>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</si>
  <si>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</si>
  <si>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</si>
  <si>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</si>
  <si>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</si>
  <si>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</si>
  <si>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</si>
  <si>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</si>
  <si>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</si>
  <si>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</si>
  <si>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</si>
  <si>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</si>
  <si>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</si>
  <si>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</si>
  <si>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</si>
  <si>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</si>
  <si>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</si>
  <si>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</si>
  <si>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</si>
  <si>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</si>
  <si>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</si>
  <si>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</si>
  <si>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</si>
  <si>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</si>
  <si>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</si>
  <si>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</si>
  <si>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</si>
  <si>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</si>
  <si>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</si>
  <si>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</si>
  <si>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</si>
  <si>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</si>
  <si>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</si>
  <si>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</si>
  <si>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</si>
  <si>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</si>
  <si>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</si>
  <si>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</si>
  <si>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</si>
  <si>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</si>
  <si>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</si>
  <si>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</si>
  <si>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</si>
  <si>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</si>
  <si>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</si>
  <si>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</si>
  <si>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</si>
  <si>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</si>
  <si>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</si>
  <si>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</si>
  <si>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</si>
  <si>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</si>
  <si>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</si>
  <si>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</si>
  <si>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</si>
  <si>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</si>
  <si>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</si>
  <si>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</si>
  <si>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</si>
  <si>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</si>
  <si>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</si>
  <si>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</si>
  <si>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</si>
  <si>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</si>
  <si>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</si>
  <si>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</si>
  <si>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</si>
  <si>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</si>
  <si>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</si>
  <si>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</si>
  <si>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</si>
  <si>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</si>
  <si>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</si>
  <si>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</si>
  <si>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</si>
  <si>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</si>
  <si>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</si>
  <si>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</si>
  <si>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</si>
  <si>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</si>
  <si>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</si>
  <si>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</si>
  <si>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</si>
  <si>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</si>
  <si>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</si>
  <si>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</si>
  <si>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</si>
  <si>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</si>
  <si>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</si>
  <si>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</si>
  <si>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</si>
  <si>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</si>
  <si>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</si>
  <si>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</si>
  <si>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</si>
  <si>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</si>
  <si>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</si>
  <si>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</si>
  <si>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</si>
  <si>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</si>
  <si>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</si>
  <si>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</si>
  <si>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</si>
  <si>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</si>
  <si>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</si>
  <si>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</si>
  <si>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</si>
  <si>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</si>
  <si>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</si>
  <si>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</si>
  <si>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</si>
  <si>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</si>
  <si>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</si>
  <si>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</si>
  <si>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</si>
  <si>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</si>
  <si>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</si>
  <si>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</si>
  <si>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</si>
  <si>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</si>
  <si>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</si>
  <si>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</si>
  <si>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</si>
  <si>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</si>
  <si>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</si>
  <si>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</si>
  <si>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</si>
  <si>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</si>
  <si>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</si>
  <si>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</si>
  <si>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</si>
  <si>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</si>
  <si>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</si>
  <si>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</si>
  <si>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</si>
  <si>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</si>
  <si>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</si>
  <si>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</si>
  <si>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</si>
  <si>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</si>
  <si>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</si>
  <si>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</si>
  <si>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</si>
  <si>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</si>
  <si>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</si>
  <si>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</si>
  <si>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</si>
  <si>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</si>
  <si>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</si>
  <si>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</si>
  <si>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</si>
  <si>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</si>
  <si>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</si>
  <si>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</si>
  <si>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</si>
  <si>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</si>
  <si>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</si>
  <si>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</si>
  <si>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</si>
  <si>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</si>
  <si>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</si>
  <si>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</si>
  <si>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</si>
  <si>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</si>
  <si>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</si>
  <si>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</si>
  <si>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</si>
  <si>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</si>
  <si>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</si>
  <si>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</si>
  <si>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</si>
  <si>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</si>
  <si>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</si>
  <si>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</si>
  <si>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</si>
  <si>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</si>
  <si>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</si>
  <si>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</si>
  <si>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</si>
  <si>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</si>
  <si>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</si>
  <si>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</si>
  <si>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</si>
  <si>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</si>
  <si>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</si>
  <si>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</si>
  <si>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</si>
  <si>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</si>
  <si>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</si>
  <si>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</si>
  <si>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</si>
  <si>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</si>
  <si>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</si>
  <si>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</si>
  <si>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</si>
  <si>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</si>
  <si>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</si>
  <si>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</si>
  <si>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</si>
  <si>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</si>
  <si>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</si>
  <si>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</si>
  <si>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</si>
  <si>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</si>
  <si>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</si>
  <si>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</si>
  <si>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</si>
  <si>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</si>
  <si>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</si>
  <si>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</si>
  <si>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</si>
  <si>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</si>
  <si>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</si>
  <si>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</si>
  <si>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</si>
  <si>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</si>
  <si>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</si>
  <si>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</si>
  <si>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</si>
  <si>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</si>
  <si>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</si>
  <si>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</si>
  <si>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</si>
  <si>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</si>
  <si>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</si>
  <si>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</si>
  <si>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</si>
  <si>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</si>
  <si>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</si>
  <si>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</si>
  <si>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</si>
  <si>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</si>
  <si>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</si>
  <si>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</si>
  <si>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</si>
  <si>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</si>
  <si>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</si>
  <si>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</si>
  <si>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</si>
  <si>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</si>
  <si>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</si>
  <si>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</si>
  <si>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</si>
  <si>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</si>
  <si>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</si>
  <si>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</si>
  <si>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</si>
  <si>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</si>
  <si>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</si>
  <si>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</si>
  <si>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</si>
  <si>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</si>
  <si>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</si>
  <si>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</si>
  <si>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</si>
  <si>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</si>
  <si>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</si>
  <si>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</si>
  <si>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</si>
  <si>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</si>
  <si>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</si>
  <si>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</si>
  <si>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</si>
  <si>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</si>
  <si>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</si>
  <si>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</si>
  <si>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</si>
  <si>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</si>
  <si>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</si>
  <si>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</si>
  <si>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</si>
  <si>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</si>
  <si>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</si>
  <si>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</si>
  <si>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</si>
  <si>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</si>
  <si>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</si>
  <si>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</si>
  <si>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</si>
  <si>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</si>
  <si>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</si>
  <si>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</si>
  <si>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</si>
  <si>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</si>
  <si>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</si>
  <si>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</si>
  <si>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</si>
  <si>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</si>
  <si>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</si>
  <si>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</si>
  <si>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</si>
  <si>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</si>
  <si>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</si>
  <si>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</si>
  <si>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</si>
  <si>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</si>
  <si>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</si>
  <si>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</si>
  <si>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</si>
  <si>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</si>
  <si>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</si>
  <si>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</si>
  <si>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</si>
  <si>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</si>
  <si>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</si>
  <si>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</si>
  <si>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</si>
  <si>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</si>
  <si>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</si>
  <si>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</si>
  <si>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</si>
  <si>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</si>
  <si>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</si>
  <si>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</si>
  <si>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</si>
  <si>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</si>
  <si>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</si>
  <si>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</si>
  <si>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</si>
  <si>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</si>
  <si>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</si>
  <si>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</si>
  <si>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</si>
  <si>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</si>
  <si>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</si>
  <si>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</si>
  <si>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</si>
  <si>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</si>
  <si>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</si>
  <si>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</si>
  <si>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</si>
  <si>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</si>
  <si>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</si>
  <si>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</si>
  <si>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</si>
  <si>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</si>
  <si>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</si>
  <si>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</si>
  <si>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</si>
  <si>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</si>
  <si>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</si>
  <si>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</si>
  <si>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</si>
  <si>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</si>
  <si>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</si>
  <si>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</si>
  <si>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</si>
  <si>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</si>
  <si>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</si>
  <si>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</si>
  <si>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</si>
  <si>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</si>
  <si>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</si>
  <si>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</si>
  <si>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</si>
  <si>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</si>
  <si>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</si>
  <si>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</si>
  <si>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</si>
  <si>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</si>
  <si>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</si>
  <si>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</si>
  <si>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</si>
  <si>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</si>
  <si>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</si>
  <si>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</si>
  <si>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</si>
  <si>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</si>
  <si>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</si>
  <si>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</si>
  <si>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</si>
  <si>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</si>
  <si>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</si>
  <si>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</si>
  <si>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</si>
  <si>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</si>
  <si>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</si>
  <si>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</si>
  <si>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</si>
  <si>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</si>
  <si>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</si>
  <si>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</si>
  <si>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</si>
  <si>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</si>
  <si>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</si>
  <si>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</si>
  <si>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</si>
  <si>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</si>
  <si>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</si>
  <si>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</si>
  <si>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</si>
  <si>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</si>
  <si>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</si>
  <si>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</si>
  <si>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</si>
  <si>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</si>
  <si>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</si>
  <si>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</si>
  <si>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</si>
  <si>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</si>
  <si>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</si>
  <si>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</si>
  <si>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</si>
  <si>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</si>
  <si>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</si>
  <si>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</si>
  <si>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</si>
  <si>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</si>
  <si>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</si>
  <si>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</si>
  <si>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</si>
  <si>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</si>
  <si>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</si>
  <si>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</si>
  <si>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</si>
  <si>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</si>
  <si>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</si>
  <si>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</si>
  <si>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</si>
  <si>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</si>
  <si>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</si>
  <si>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</si>
  <si>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</si>
  <si>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</si>
  <si>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</si>
  <si>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</si>
  <si>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</si>
  <si>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</si>
  <si>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</si>
  <si>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</si>
  <si>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</si>
  <si>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</si>
  <si>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</si>
  <si>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</si>
  <si>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</si>
  <si>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</si>
  <si>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</si>
  <si>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</si>
  <si>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</si>
  <si>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</si>
  <si>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</si>
  <si>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</si>
  <si>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</si>
  <si>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</si>
  <si>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</si>
  <si>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</si>
  <si>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</si>
  <si>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</si>
  <si>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</si>
  <si>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</si>
  <si>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</si>
  <si>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</si>
  <si>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</si>
  <si>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</si>
  <si>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</si>
  <si>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</si>
  <si>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</si>
  <si>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</si>
  <si>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</si>
  <si>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</si>
  <si>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</si>
  <si>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</si>
  <si>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</si>
  <si>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</si>
  <si>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</si>
  <si>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</si>
  <si>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</si>
  <si>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</si>
  <si>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</si>
  <si>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</si>
  <si>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</si>
  <si>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</si>
  <si>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</si>
  <si>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</si>
  <si>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</si>
  <si>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</si>
  <si>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</si>
  <si>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</si>
  <si>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</si>
  <si>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</si>
  <si>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</si>
  <si>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</si>
  <si>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</si>
  <si>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</si>
  <si>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</si>
  <si>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</si>
  <si>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</si>
  <si>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</si>
  <si>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</si>
  <si>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</si>
  <si>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</si>
  <si>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</si>
  <si>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</si>
  <si>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</si>
  <si>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</si>
  <si>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</si>
  <si>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</si>
  <si>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</si>
  <si>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</si>
  <si>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</si>
  <si>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</si>
  <si>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</si>
  <si>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</si>
  <si>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</si>
  <si>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</si>
  <si>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</si>
  <si>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</si>
  <si>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</si>
  <si>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</si>
  <si>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</si>
  <si>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</si>
  <si>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</si>
  <si>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</si>
  <si>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</si>
  <si>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</si>
  <si>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</si>
  <si>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</si>
  <si>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</si>
  <si>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</si>
  <si>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</si>
  <si>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</si>
  <si>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</si>
  <si>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</si>
  <si>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</si>
  <si>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</si>
  <si>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</si>
  <si>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</si>
  <si>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</si>
  <si>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</si>
  <si>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</si>
  <si>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</si>
  <si>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</si>
  <si>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</si>
  <si>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</si>
  <si>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</si>
  <si>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</si>
  <si>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</si>
  <si>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</si>
  <si>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</si>
  <si>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</si>
  <si>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</si>
  <si>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</si>
  <si>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</si>
  <si>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</si>
  <si>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</si>
  <si>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</si>
  <si>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</si>
  <si>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</si>
  <si>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</si>
  <si>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</si>
  <si>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</si>
  <si>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</si>
  <si>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</si>
  <si>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</si>
  <si>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</si>
  <si>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</si>
  <si>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</si>
  <si>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</si>
  <si>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</si>
  <si>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</si>
  <si>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</si>
  <si>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</si>
  <si>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</si>
  <si>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</si>
  <si>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</si>
  <si>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</si>
  <si>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</si>
  <si>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</si>
  <si>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</si>
  <si>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</si>
  <si>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</si>
  <si>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</si>
  <si>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</si>
  <si>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</si>
  <si>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</si>
  <si>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</si>
  <si>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</si>
  <si>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</si>
  <si>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</si>
  <si>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</si>
  <si>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</si>
  <si>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</si>
  <si>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</si>
  <si>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</si>
  <si>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</si>
  <si>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</si>
  <si>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</si>
  <si>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</si>
  <si>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</si>
  <si>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</si>
  <si>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</si>
  <si>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</si>
  <si>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</si>
  <si>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</si>
  <si>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</si>
  <si>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</si>
  <si>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</si>
  <si>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</si>
  <si>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</si>
  <si>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</si>
  <si>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</si>
  <si>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</si>
  <si>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</si>
  <si>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</si>
  <si>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</si>
  <si>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</si>
  <si>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</si>
  <si>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</si>
  <si>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</si>
  <si>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</si>
  <si>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</si>
  <si>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</si>
  <si>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</si>
  <si>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</si>
  <si>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</si>
  <si>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</si>
  <si>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</si>
  <si>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</si>
  <si>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</si>
  <si>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</si>
  <si>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</si>
  <si>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</si>
  <si>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</si>
  <si>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</si>
  <si>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</si>
  <si>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</si>
  <si>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</si>
  <si>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</si>
  <si>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</si>
  <si>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</si>
  <si>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</si>
  <si>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</si>
  <si>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</si>
  <si>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</si>
  <si>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</si>
  <si>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</si>
  <si>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</si>
  <si>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</si>
  <si>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</si>
  <si>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</si>
  <si>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</si>
  <si>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</si>
  <si>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</si>
  <si>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</si>
  <si>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</si>
  <si>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</si>
  <si>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</si>
  <si>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</si>
  <si>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</si>
  <si>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</si>
  <si>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</si>
  <si>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</si>
  <si>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</si>
  <si>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</si>
  <si>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</si>
  <si>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</si>
  <si>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</si>
  <si>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</si>
  <si>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</si>
  <si>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</si>
  <si>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</si>
  <si>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</si>
  <si>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</si>
  <si>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</si>
  <si>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</si>
  <si>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</si>
  <si>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</si>
  <si>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</si>
  <si>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</si>
  <si>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</si>
  <si>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</si>
  <si>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</si>
  <si>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</si>
  <si>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</si>
  <si>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</si>
  <si>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</si>
  <si>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</si>
  <si>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</si>
  <si>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</si>
  <si>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</si>
  <si>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</si>
  <si>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</si>
  <si>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</si>
  <si>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</si>
  <si>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</si>
  <si>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</si>
  <si>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</si>
  <si>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</si>
  <si>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</si>
  <si>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</si>
  <si>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</si>
  <si>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</si>
  <si>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</si>
  <si>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</si>
  <si>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</si>
  <si>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</si>
  <si>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</si>
  <si>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</si>
  <si>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</si>
  <si>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</si>
  <si>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</si>
  <si>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</si>
  <si>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</si>
  <si>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</si>
  <si>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</si>
  <si>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</si>
  <si>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</si>
  <si>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</si>
  <si>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</si>
  <si>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</si>
  <si>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</si>
  <si>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</si>
  <si>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</si>
  <si>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</si>
  <si>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</si>
  <si>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</si>
  <si>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</si>
  <si>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</si>
  <si>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</si>
  <si>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</si>
  <si>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</si>
  <si>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</si>
  <si>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</si>
  <si>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</si>
  <si>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</si>
  <si>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</si>
  <si>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</si>
  <si>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</si>
  <si>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</si>
  <si>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</si>
  <si>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</si>
  <si>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</si>
  <si>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</si>
  <si>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</si>
  <si>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</si>
  <si>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</si>
  <si>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</si>
  <si>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</si>
  <si>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</si>
  <si>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</si>
  <si>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</si>
  <si>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</si>
  <si>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</si>
  <si>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</si>
  <si>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</si>
  <si>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</si>
  <si>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</si>
  <si>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</si>
  <si>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</si>
  <si>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</si>
  <si>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</si>
  <si>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</si>
  <si>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</si>
  <si>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</si>
  <si>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</si>
  <si>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</si>
  <si>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</si>
  <si>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</si>
  <si>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</si>
  <si>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</si>
  <si>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</si>
  <si>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</si>
  <si>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</si>
  <si>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</si>
  <si>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</si>
  <si>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</si>
  <si>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</si>
  <si>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</si>
  <si>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</si>
  <si>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</si>
  <si>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</si>
  <si>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</si>
  <si>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</si>
  <si>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</si>
  <si>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</si>
  <si>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</si>
  <si>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</si>
  <si>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</si>
  <si>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</si>
  <si>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</si>
  <si>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</si>
  <si>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</si>
  <si>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</si>
  <si>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</si>
  <si>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</si>
  <si>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</si>
  <si>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</si>
  <si>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</si>
  <si>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</si>
  <si>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</si>
  <si>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</si>
  <si>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</si>
  <si>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</si>
  <si>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</si>
  <si>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</si>
  <si>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</si>
  <si>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</si>
  <si>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</si>
  <si>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</si>
  <si>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</si>
  <si>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</si>
  <si>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</si>
  <si>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</si>
  <si>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</si>
  <si>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</si>
  <si>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</si>
  <si>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</si>
  <si>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</si>
  <si>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</si>
  <si>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</si>
  <si>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</si>
  <si>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</si>
  <si>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</si>
  <si>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</si>
  <si>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</si>
  <si>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</si>
  <si>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</si>
  <si>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</si>
  <si>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</si>
  <si>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</si>
  <si>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</si>
  <si>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</si>
  <si>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</si>
  <si>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</si>
  <si>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</si>
  <si>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</si>
  <si>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</si>
  <si>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</si>
  <si>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</si>
  <si>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</si>
  <si>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</si>
  <si>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</si>
  <si>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</si>
  <si>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</si>
  <si>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</si>
  <si>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</si>
  <si>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</si>
  <si>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</si>
  <si>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</si>
  <si>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</si>
  <si>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</si>
  <si>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</si>
  <si>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</si>
  <si>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</si>
  <si>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</si>
  <si>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</si>
  <si>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</si>
  <si>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</si>
  <si>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</si>
  <si>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</si>
  <si>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</si>
  <si>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</si>
  <si>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</si>
  <si>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</si>
  <si>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</si>
  <si>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</si>
  <si>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</si>
  <si>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</si>
  <si>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</si>
  <si>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</si>
  <si>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</si>
  <si>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</si>
  <si>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</si>
  <si>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</si>
  <si>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</si>
  <si>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</si>
  <si>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</si>
  <si>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</si>
  <si>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</si>
  <si>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</si>
  <si>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</si>
  <si>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</si>
  <si>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</si>
  <si>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</si>
  <si>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</si>
  <si>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</si>
  <si>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</si>
  <si>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</si>
  <si>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</si>
  <si>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</si>
  <si>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</si>
  <si>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</si>
  <si>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</si>
  <si>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</si>
  <si>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</si>
  <si>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</si>
  <si>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</si>
  <si>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</si>
  <si>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</si>
  <si>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</si>
  <si>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</si>
  <si>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</si>
  <si>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</si>
  <si>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</si>
  <si>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</si>
  <si>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</si>
  <si>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</si>
  <si>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</si>
  <si>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</si>
  <si>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</si>
  <si>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</si>
  <si>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</si>
  <si>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</si>
  <si>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</si>
  <si>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</si>
  <si>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</si>
  <si>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</si>
  <si>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</si>
  <si>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</si>
  <si>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</si>
  <si>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</si>
  <si>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</si>
  <si>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</si>
  <si>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</si>
  <si>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</si>
  <si>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</si>
  <si>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</si>
  <si>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</si>
  <si>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</si>
  <si>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</si>
  <si>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</si>
  <si>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</si>
  <si>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</si>
  <si>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</si>
  <si>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</si>
  <si>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</si>
  <si>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</si>
  <si>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</si>
  <si>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</si>
  <si>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</si>
  <si>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</si>
  <si>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</si>
  <si>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</si>
  <si>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</si>
  <si>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</si>
  <si>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</si>
  <si>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</si>
  <si>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</si>
  <si>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</si>
  <si>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</si>
  <si>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</si>
  <si>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</si>
  <si>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</si>
  <si>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</si>
  <si>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</si>
  <si>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</si>
  <si>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</si>
  <si>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</si>
  <si>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</si>
  <si>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</si>
  <si>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</si>
  <si>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</si>
  <si>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</si>
  <si>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</si>
  <si>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</si>
  <si>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</si>
  <si>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</si>
  <si>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</si>
  <si>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</si>
  <si>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</si>
  <si>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</si>
  <si>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</si>
  <si>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</si>
  <si>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</si>
  <si>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</si>
  <si>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</si>
  <si>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</si>
  <si>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</si>
  <si>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</si>
  <si>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</si>
  <si>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</si>
  <si>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</si>
  <si>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</si>
  <si>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</si>
  <si>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</si>
  <si>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</si>
  <si>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</si>
  <si>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</si>
  <si>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</si>
  <si>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</si>
  <si>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</si>
  <si>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</si>
  <si>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</si>
  <si>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</si>
  <si>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</si>
  <si>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</si>
  <si>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</si>
  <si>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</si>
  <si>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</si>
  <si>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</si>
  <si>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</si>
  <si>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</si>
  <si>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</si>
  <si>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</si>
  <si>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</si>
  <si>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</si>
  <si>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</si>
  <si>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</si>
  <si>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</si>
  <si>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</si>
  <si>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</si>
  <si>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</si>
  <si>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</si>
  <si>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</si>
  <si>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</si>
  <si>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</si>
  <si>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</si>
  <si>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</si>
  <si>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</si>
  <si>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</si>
  <si>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</si>
  <si>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</si>
  <si>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</si>
  <si>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</si>
  <si>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</si>
  <si>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</si>
  <si>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</si>
  <si>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</si>
  <si>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</si>
  <si>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</si>
  <si>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</si>
  <si>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</si>
  <si>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</si>
  <si>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</si>
  <si>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</si>
  <si>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</si>
  <si>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</si>
  <si>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</si>
  <si>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</si>
  <si>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</si>
  <si>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</si>
  <si>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</si>
  <si>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</si>
  <si>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</si>
  <si>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</si>
  <si>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</si>
  <si>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</si>
  <si>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</si>
  <si>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</si>
  <si>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</si>
  <si>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</si>
  <si>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</si>
  <si>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</si>
  <si>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</si>
  <si>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</si>
  <si>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</si>
  <si>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</si>
  <si>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</si>
  <si>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</si>
  <si>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</si>
  <si>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</si>
  <si>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</si>
  <si>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</si>
  <si>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</si>
  <si>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</si>
  <si>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</si>
  <si>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</si>
  <si>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</si>
  <si>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</si>
  <si>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</si>
  <si>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</si>
  <si>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</si>
  <si>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</si>
  <si>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</si>
  <si>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</si>
  <si>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</si>
  <si>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</si>
  <si>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</si>
  <si>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</si>
  <si>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</si>
  <si>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</si>
  <si>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</si>
  <si>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</si>
  <si>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</si>
  <si>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</si>
  <si>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</si>
  <si>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</si>
  <si>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</si>
  <si>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</si>
  <si>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</si>
  <si>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</si>
  <si>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</si>
  <si>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</si>
  <si>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</si>
  <si>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</si>
  <si>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</si>
  <si>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</si>
  <si>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</si>
  <si>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</si>
  <si>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</si>
  <si>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</si>
  <si>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</si>
  <si>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</si>
  <si>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</si>
  <si>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</si>
  <si>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</si>
  <si>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</si>
  <si>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</si>
  <si>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</si>
  <si>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</si>
  <si>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</si>
  <si>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</si>
  <si>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</si>
  <si>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</si>
  <si>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</si>
  <si>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</si>
  <si>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</si>
  <si>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</si>
  <si>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</si>
  <si>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</si>
  <si>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</si>
  <si>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</si>
  <si>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</si>
  <si>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</si>
  <si>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</si>
  <si>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</si>
  <si>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</si>
  <si>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</si>
  <si>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</si>
  <si>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</si>
  <si>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</si>
  <si>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</si>
  <si>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</si>
  <si>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</si>
  <si>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</si>
  <si>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</si>
  <si>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</si>
  <si>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</si>
  <si>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</si>
  <si>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</si>
  <si>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</si>
  <si>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</si>
  <si>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</si>
  <si>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</si>
  <si>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</si>
  <si>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</si>
  <si>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</si>
  <si>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</si>
  <si>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</si>
  <si>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</si>
  <si>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</si>
  <si>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</si>
  <si>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</si>
  <si>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</si>
  <si>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</si>
  <si>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</si>
  <si>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</si>
  <si>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</si>
  <si>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</si>
  <si>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</si>
  <si>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</si>
  <si>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</si>
  <si>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</si>
  <si>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</si>
  <si>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</si>
  <si>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</si>
  <si>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</si>
  <si>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</si>
  <si>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</si>
  <si>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</si>
  <si>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</si>
  <si>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</si>
  <si>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</si>
  <si>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</si>
  <si>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</si>
  <si>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</si>
  <si>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</si>
  <si>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</si>
  <si>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</si>
  <si>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</si>
  <si>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</si>
  <si>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</si>
  <si>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</si>
  <si>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</si>
  <si>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</si>
  <si>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</si>
  <si>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</si>
  <si>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</si>
  <si>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</si>
  <si>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</si>
  <si>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</si>
  <si>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</si>
  <si>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</si>
  <si>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</si>
  <si>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</si>
  <si>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</si>
  <si>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</si>
  <si>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</si>
  <si>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</si>
  <si>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</si>
  <si>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</si>
  <si>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</si>
  <si>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</si>
  <si>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</si>
  <si>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</si>
  <si>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</si>
  <si>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</si>
  <si>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</si>
  <si>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</si>
  <si>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</si>
  <si>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</si>
  <si>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</si>
  <si>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</si>
  <si>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</si>
  <si>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</si>
  <si>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</si>
  <si>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</si>
  <si>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</si>
  <si>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</si>
  <si>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</si>
  <si>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</si>
  <si>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</si>
  <si>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</si>
  <si>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</si>
  <si>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</si>
  <si>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</si>
  <si>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</si>
  <si>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</si>
  <si>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</si>
  <si>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</si>
  <si>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</si>
  <si>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</si>
  <si>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</si>
  <si>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</si>
  <si>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</si>
  <si>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</si>
  <si>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</si>
  <si>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</si>
  <si>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</si>
  <si>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</si>
  <si>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</si>
  <si>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</si>
  <si>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</si>
  <si>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</si>
  <si>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</si>
  <si>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</si>
  <si>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</si>
  <si>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</si>
  <si>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</si>
  <si>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</si>
  <si>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</si>
  <si>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</si>
  <si>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</si>
  <si>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</si>
  <si>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</si>
  <si>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</si>
  <si>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</si>
  <si>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</si>
  <si>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</si>
  <si>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</si>
  <si>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</si>
  <si>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</si>
  <si>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</si>
  <si>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</si>
  <si>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</si>
  <si>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</si>
  <si>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</si>
  <si>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</si>
  <si>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</si>
  <si>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</si>
  <si>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</si>
  <si>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</si>
  <si>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</si>
  <si>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</si>
  <si>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</si>
  <si>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</si>
  <si>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</si>
  <si>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</si>
  <si>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</si>
  <si>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</si>
  <si>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</si>
  <si>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</si>
  <si>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</si>
  <si>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</si>
  <si>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</si>
  <si>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</si>
  <si>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</si>
  <si>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</si>
  <si>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</si>
  <si>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</si>
  <si>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</si>
  <si>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</si>
  <si>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</si>
  <si>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</si>
  <si>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</si>
  <si>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</si>
  <si>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</si>
  <si>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</si>
  <si>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</si>
  <si>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</si>
  <si>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</si>
  <si>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</si>
  <si>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</si>
  <si>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</si>
  <si>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</si>
  <si>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</si>
  <si>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</si>
  <si>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</si>
  <si>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</si>
  <si>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</si>
  <si>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</si>
  <si>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</si>
  <si>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</si>
  <si>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</si>
  <si>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</si>
  <si>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</si>
  <si>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</si>
  <si>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</si>
  <si>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</si>
  <si>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</si>
  <si>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</si>
  <si>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</si>
  <si>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</si>
  <si>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</si>
  <si>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</si>
  <si>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</si>
  <si>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</si>
  <si>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</si>
  <si>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</si>
  <si>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</si>
  <si>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</si>
  <si>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</si>
  <si>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</si>
  <si>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</si>
  <si>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</si>
  <si>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</si>
  <si>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</si>
  <si>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</si>
  <si>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</si>
  <si>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</si>
  <si>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</si>
  <si>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</si>
  <si>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</si>
  <si>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</si>
  <si>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</si>
  <si>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</si>
  <si>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</si>
  <si>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</si>
  <si>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</si>
  <si>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</si>
  <si>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</si>
  <si>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</si>
  <si>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</si>
  <si>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</si>
  <si>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</si>
  <si>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</si>
  <si>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</si>
  <si>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</si>
  <si>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</si>
  <si>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</si>
  <si>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</si>
  <si>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</si>
  <si>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</si>
  <si>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</si>
  <si>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</si>
  <si>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</si>
  <si>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</si>
  <si>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</si>
  <si>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</si>
  <si>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</si>
  <si>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</si>
  <si>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</si>
  <si>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</si>
  <si>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</si>
  <si>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</si>
  <si>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</si>
  <si>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</si>
  <si>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</si>
  <si>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</si>
  <si>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</si>
  <si>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</si>
  <si>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</si>
  <si>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</si>
  <si>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</si>
  <si>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</si>
  <si>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</si>
  <si>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</si>
  <si>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</si>
  <si>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</si>
  <si>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</si>
  <si>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</si>
  <si>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</si>
  <si>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</si>
  <si>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</si>
  <si>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</si>
  <si>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</si>
  <si>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</si>
  <si>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</si>
  <si>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</si>
  <si>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</si>
  <si>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</si>
  <si>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</si>
  <si>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</si>
  <si>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</si>
  <si>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</si>
  <si>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</si>
  <si>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</si>
  <si>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</si>
  <si>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</si>
  <si>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</si>
  <si>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</si>
  <si>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</si>
  <si>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</si>
  <si>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</si>
  <si>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</si>
  <si>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</si>
  <si>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</si>
  <si>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</si>
  <si>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</si>
  <si>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</si>
  <si>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</si>
  <si>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</si>
  <si>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</si>
  <si>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</si>
  <si>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</si>
  <si>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</si>
  <si>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</si>
  <si>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</si>
  <si>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</si>
  <si>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</si>
  <si>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</si>
  <si>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</si>
  <si>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</si>
  <si>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</si>
  <si>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</si>
  <si>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</si>
  <si>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</si>
  <si>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</si>
  <si>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</si>
  <si>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</si>
  <si>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</si>
  <si>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</si>
  <si>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</si>
  <si>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</si>
  <si>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</si>
  <si>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</si>
  <si>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</si>
  <si>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</si>
  <si>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</si>
  <si>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</si>
  <si>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</si>
  <si>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</si>
  <si>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</si>
  <si>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</si>
  <si>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</si>
  <si>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</si>
  <si>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</si>
  <si>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</si>
  <si>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</si>
  <si>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</si>
  <si>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</si>
  <si>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</si>
  <si>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</si>
  <si>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</si>
  <si>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</si>
  <si>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</si>
  <si>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</si>
  <si>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</si>
  <si>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</si>
  <si>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</si>
  <si>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</si>
  <si>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</si>
  <si>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</si>
  <si>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</si>
  <si>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</si>
  <si>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</si>
  <si>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</si>
  <si>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</si>
  <si>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</si>
  <si>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</si>
  <si>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</si>
  <si>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</si>
  <si>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</si>
  <si>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</si>
  <si>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</si>
  <si>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</si>
  <si>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</si>
  <si>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</si>
  <si>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</si>
  <si>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</si>
  <si>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</si>
  <si>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</si>
  <si>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</si>
  <si>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</si>
  <si>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</si>
  <si>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</si>
  <si>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</si>
  <si>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</si>
  <si>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</si>
  <si>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</si>
  <si>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</si>
  <si>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</si>
  <si>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</si>
  <si>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</si>
  <si>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</si>
  <si>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</si>
  <si>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</si>
  <si>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</si>
  <si>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</si>
  <si>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</si>
  <si>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</si>
  <si>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</si>
  <si>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</si>
  <si>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</si>
  <si>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</si>
  <si>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</si>
  <si>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</si>
  <si>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</si>
  <si>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</si>
  <si>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</si>
  <si>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</si>
  <si>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</si>
  <si>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</si>
  <si>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</si>
  <si>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</si>
  <si>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</si>
  <si>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</si>
  <si>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</si>
  <si>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</si>
  <si>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</si>
  <si>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</si>
  <si>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</si>
  <si>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</si>
  <si>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</si>
  <si>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</si>
  <si>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</si>
  <si>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</si>
  <si>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</si>
  <si>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</si>
  <si>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</si>
  <si>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</si>
  <si>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</si>
  <si>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</si>
  <si>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</si>
  <si>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</si>
  <si>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</si>
  <si>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</si>
  <si>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</si>
  <si>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</si>
  <si>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</si>
  <si>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</si>
  <si>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</si>
  <si>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</si>
  <si>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</si>
  <si>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</si>
  <si>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</si>
  <si>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</si>
  <si>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</si>
  <si>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</si>
  <si>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</si>
  <si>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</si>
  <si>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</si>
  <si>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</si>
  <si>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</si>
  <si>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</si>
  <si>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</si>
  <si>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</si>
  <si>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</si>
  <si>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</si>
  <si>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</si>
  <si>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</si>
  <si>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</si>
  <si>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</si>
  <si>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</si>
  <si>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</si>
  <si>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</si>
  <si>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</si>
  <si>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</si>
  <si>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</si>
  <si>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</si>
  <si>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</si>
  <si>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</si>
  <si>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</si>
  <si>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</si>
  <si>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</si>
  <si>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</si>
  <si>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</si>
  <si>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</si>
  <si>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</si>
  <si>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</si>
  <si>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</si>
  <si>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</si>
  <si>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</si>
  <si>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</si>
  <si>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</si>
  <si>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</si>
  <si>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</si>
  <si>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</si>
  <si>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</si>
  <si>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</si>
  <si>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</si>
  <si>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</si>
  <si>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</si>
  <si>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</si>
  <si>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</si>
  <si>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</si>
  <si>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</si>
  <si>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</si>
  <si>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</si>
  <si>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</si>
  <si>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</si>
  <si>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</si>
  <si>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</si>
  <si>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</si>
  <si>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</si>
  <si>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</si>
  <si>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</si>
  <si>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</si>
  <si>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</si>
  <si>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</si>
  <si>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</si>
  <si>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</si>
  <si>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</si>
  <si>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</si>
  <si>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</si>
  <si>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</si>
  <si>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</si>
  <si>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</si>
  <si>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</si>
  <si>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</si>
  <si>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</si>
  <si>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</si>
  <si>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</si>
  <si>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</si>
  <si>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</si>
  <si>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</si>
  <si>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</si>
  <si>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</si>
  <si>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</si>
  <si>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</si>
  <si>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</si>
  <si>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</si>
  <si>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</si>
  <si>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</si>
  <si>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</si>
  <si>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</si>
  <si>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</si>
  <si>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</si>
  <si>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</si>
  <si>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</si>
  <si>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</si>
  <si>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</si>
  <si>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</si>
  <si>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</si>
  <si>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</si>
  <si>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</si>
  <si>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</si>
  <si>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</si>
  <si>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</si>
  <si>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</si>
  <si>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</si>
  <si>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</si>
  <si>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</si>
  <si>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</si>
  <si>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</si>
  <si>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</si>
  <si>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</si>
  <si>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</si>
  <si>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</si>
  <si>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</si>
  <si>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</si>
  <si>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</si>
  <si>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</si>
  <si>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</si>
  <si>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</si>
  <si>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</si>
  <si>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</si>
  <si>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</si>
  <si>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</si>
  <si>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</si>
  <si>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</si>
  <si>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</si>
  <si>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</si>
  <si>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</si>
  <si>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</si>
  <si>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</si>
  <si>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</si>
  <si>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</si>
  <si>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</si>
  <si>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</si>
  <si>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</si>
  <si>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</si>
  <si>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</si>
  <si>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</si>
  <si>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</si>
  <si>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</si>
  <si>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</si>
  <si>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</si>
  <si>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</si>
  <si>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</si>
  <si>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</si>
  <si>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</si>
  <si>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</si>
  <si>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</si>
  <si>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</si>
  <si>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</si>
  <si>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</si>
  <si>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</si>
  <si>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</si>
  <si>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</si>
  <si>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</si>
  <si>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</si>
  <si>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</si>
  <si>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</si>
  <si>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</si>
  <si>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</si>
  <si>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</si>
  <si>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</si>
  <si>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</si>
  <si>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</si>
  <si>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</si>
  <si>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</si>
  <si>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</si>
  <si>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</si>
  <si>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</si>
  <si>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</si>
  <si>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</si>
  <si>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</si>
  <si>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</si>
  <si>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</si>
  <si>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</si>
  <si>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</si>
  <si>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</si>
  <si>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</si>
  <si>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</si>
  <si>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</si>
  <si>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</si>
  <si>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</si>
  <si>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</si>
  <si>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</si>
  <si>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</si>
  <si>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</si>
  <si>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</si>
  <si>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</si>
  <si>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</si>
  <si>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</si>
  <si>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</si>
  <si>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</si>
  <si>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</si>
  <si>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</si>
  <si>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</si>
  <si>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</si>
  <si>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</si>
  <si>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</si>
  <si>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</si>
  <si>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</si>
  <si>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</si>
  <si>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</si>
  <si>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</si>
  <si>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</si>
  <si>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</si>
  <si>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</si>
  <si>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</si>
  <si>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</si>
  <si>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</si>
  <si>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</si>
  <si>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</si>
  <si>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</si>
  <si>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</si>
  <si>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</si>
  <si>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</si>
  <si>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</si>
  <si>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</si>
  <si>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</si>
  <si>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</si>
  <si>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</si>
  <si>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</si>
  <si>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</si>
  <si>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</si>
  <si>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</si>
  <si>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</si>
  <si>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</si>
  <si>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</si>
  <si>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</si>
  <si>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</si>
  <si>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</si>
  <si>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</si>
  <si>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</si>
  <si>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</si>
  <si>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</si>
  <si>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</si>
  <si>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</si>
  <si>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</si>
  <si>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</si>
  <si>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</si>
  <si>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</si>
  <si>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</si>
  <si>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</si>
  <si>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</si>
  <si>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</si>
  <si>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</si>
  <si>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</si>
  <si>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</si>
  <si>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</si>
  <si>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</si>
  <si>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</si>
  <si>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</si>
  <si>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</si>
  <si>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</si>
  <si>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</si>
  <si>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</si>
  <si>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</si>
  <si>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</si>
  <si>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</si>
  <si>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</si>
  <si>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</si>
  <si>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</si>
  <si>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</si>
  <si>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</si>
  <si>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</si>
  <si>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</si>
  <si>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</si>
  <si>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</si>
  <si>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</si>
  <si>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</si>
  <si>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</si>
  <si>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</si>
  <si>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</si>
  <si>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</si>
  <si>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</si>
  <si>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</si>
  <si>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</si>
  <si>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</si>
  <si>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</si>
  <si>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</si>
  <si>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</si>
  <si>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</si>
  <si>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</si>
  <si>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</si>
  <si>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</si>
  <si>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</si>
  <si>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</si>
  <si>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</si>
  <si>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</si>
  <si>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</si>
  <si>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</si>
  <si>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</si>
  <si>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</si>
  <si>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</si>
  <si>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</si>
  <si>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</si>
  <si>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</si>
  <si>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</si>
  <si>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</si>
  <si>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</si>
  <si>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</si>
  <si>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</si>
  <si>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</si>
  <si>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</si>
  <si>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</si>
  <si>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</si>
  <si>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</si>
  <si>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</si>
  <si>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</si>
  <si>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</si>
  <si>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</si>
  <si>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</si>
  <si>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</si>
  <si>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</si>
  <si>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</si>
  <si>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</si>
  <si>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</si>
  <si>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</si>
  <si>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</si>
  <si>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</si>
  <si>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</si>
  <si>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</si>
  <si>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</si>
  <si>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</si>
  <si>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</si>
  <si>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</si>
  <si>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</si>
  <si>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</si>
  <si>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</si>
  <si>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</si>
  <si>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</si>
  <si>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</si>
  <si>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</si>
  <si>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</si>
  <si>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</si>
  <si>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</si>
  <si>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</si>
  <si>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</si>
  <si>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</si>
  <si>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</si>
  <si>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</si>
  <si>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</si>
  <si>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</si>
  <si>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</si>
  <si>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</si>
  <si>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</si>
  <si>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</si>
  <si>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</si>
  <si>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</si>
  <si>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</si>
  <si>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</si>
  <si>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</si>
  <si>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</si>
  <si>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</si>
  <si>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</si>
  <si>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</si>
  <si>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</si>
  <si>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</si>
  <si>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</si>
  <si>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</si>
  <si>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</si>
  <si>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</si>
  <si>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</si>
  <si>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</si>
  <si>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</si>
  <si>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</si>
  <si>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</si>
  <si>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</si>
  <si>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</si>
  <si>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</si>
  <si>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</si>
  <si>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</si>
  <si>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</si>
  <si>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</si>
  <si>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</si>
  <si>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</si>
  <si>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</si>
  <si>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</si>
  <si>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</si>
  <si>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</si>
  <si>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</si>
  <si>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</si>
  <si>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</si>
  <si>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</si>
  <si>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</si>
  <si>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</si>
  <si>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</si>
  <si>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</si>
  <si>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</si>
  <si>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</si>
  <si>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</si>
  <si>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</si>
  <si>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</si>
  <si>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</si>
  <si>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</si>
  <si>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</si>
  <si>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</si>
  <si>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</si>
  <si>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</si>
  <si>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</si>
  <si>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</si>
  <si>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</si>
  <si>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</si>
  <si>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</si>
  <si>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</si>
  <si>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</si>
  <si>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</si>
  <si>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</si>
  <si>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</si>
  <si>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</si>
  <si>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</si>
  <si>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</si>
  <si>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</si>
  <si>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</si>
  <si>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</si>
  <si>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</si>
  <si>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</si>
  <si>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</si>
  <si>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</si>
  <si>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</si>
  <si>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</si>
  <si>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</si>
  <si>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</si>
  <si>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</si>
  <si>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</si>
  <si>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</si>
  <si>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</si>
  <si>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</si>
  <si>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</si>
  <si>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</si>
  <si>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</si>
  <si>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</si>
  <si>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</si>
  <si>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</si>
  <si>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</si>
  <si>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</si>
  <si>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</si>
  <si>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</si>
  <si>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</si>
  <si>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</si>
  <si>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</si>
  <si>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</si>
  <si>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</si>
  <si>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</si>
  <si>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</si>
  <si>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</si>
  <si>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</si>
  <si>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</si>
  <si>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</si>
  <si>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</si>
  <si>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</si>
  <si>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</si>
  <si>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</si>
  <si>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</si>
  <si>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</si>
  <si>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</si>
  <si>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</si>
  <si>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</si>
  <si>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</si>
  <si>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</si>
  <si>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</si>
  <si>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</si>
  <si>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</si>
  <si>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</si>
  <si>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</si>
  <si>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</si>
  <si>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</si>
  <si>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</si>
  <si>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</si>
  <si>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</si>
  <si>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</si>
  <si>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</si>
  <si>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</si>
  <si>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</si>
  <si>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</si>
  <si>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</si>
  <si>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</si>
  <si>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</si>
  <si>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</si>
  <si>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</si>
  <si>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</si>
  <si>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</si>
  <si>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</si>
  <si>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</si>
  <si>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</si>
  <si>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</si>
  <si>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</si>
  <si>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</si>
  <si>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</si>
  <si>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</si>
  <si>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</si>
  <si>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</si>
  <si>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</si>
  <si>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</si>
  <si>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</si>
  <si>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</si>
  <si>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</si>
  <si>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</si>
  <si>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</si>
  <si>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</si>
  <si>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</si>
  <si>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</si>
  <si>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</si>
  <si>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</si>
  <si>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</si>
  <si>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</si>
  <si>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</si>
  <si>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</si>
  <si>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</si>
  <si>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</si>
  <si>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</si>
  <si>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</si>
  <si>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</si>
  <si>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</si>
  <si>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</si>
  <si>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</si>
  <si>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</si>
  <si>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</si>
  <si>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</si>
  <si>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</si>
  <si>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</si>
  <si>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</si>
  <si>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</si>
  <si>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</si>
  <si>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</si>
  <si>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</si>
  <si>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</si>
  <si>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</si>
  <si>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</si>
  <si>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</si>
  <si>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</si>
  <si>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</si>
  <si>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</si>
  <si>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</si>
  <si>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</si>
  <si>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</si>
  <si>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</si>
  <si>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</si>
  <si>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</si>
  <si>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</si>
  <si>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</si>
  <si>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</si>
  <si>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</si>
  <si>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</si>
  <si>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</si>
  <si>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</si>
  <si>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</si>
  <si>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</si>
  <si>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</si>
  <si>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</si>
  <si>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</si>
  <si>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</si>
  <si>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</si>
  <si>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</si>
  <si>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</si>
  <si>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</si>
  <si>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</si>
  <si>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</si>
  <si>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</si>
  <si>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</si>
  <si>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</si>
  <si>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</si>
  <si>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</si>
  <si>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</si>
  <si>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</si>
  <si>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</si>
  <si>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</si>
  <si>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</si>
  <si>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</si>
  <si>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</si>
  <si>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</si>
  <si>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</si>
  <si>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</si>
  <si>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</si>
  <si>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</si>
  <si>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</si>
  <si>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</si>
  <si>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</si>
  <si>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</si>
  <si>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</si>
  <si>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</si>
  <si>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</si>
  <si>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</si>
  <si>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</si>
  <si>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</si>
  <si>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</si>
  <si>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</si>
  <si>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</si>
  <si>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</si>
  <si>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</si>
  <si>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</si>
  <si>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</si>
  <si>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</si>
  <si>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</si>
  <si>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</si>
  <si>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</si>
  <si>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</si>
  <si>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</si>
  <si>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</si>
  <si>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</si>
  <si>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</si>
  <si>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</si>
  <si>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</si>
  <si>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</si>
  <si>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</si>
  <si>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</si>
  <si>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</si>
  <si>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</si>
  <si>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</si>
  <si>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</si>
  <si>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</si>
  <si>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</si>
  <si>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</si>
  <si>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</si>
  <si>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</si>
  <si>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</si>
  <si>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</si>
  <si>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</si>
  <si>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</si>
  <si>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</si>
  <si>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</si>
  <si>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</si>
  <si>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</si>
  <si>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</si>
  <si>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</si>
  <si>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</si>
  <si>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</si>
  <si>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</si>
  <si>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</si>
  <si>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</si>
  <si>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</si>
  <si>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</si>
  <si>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</si>
  <si>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</si>
  <si>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</si>
  <si>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</si>
  <si>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</si>
  <si>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</si>
  <si>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</si>
  <si>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</si>
  <si>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</si>
  <si>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</si>
  <si>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</si>
  <si>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</si>
  <si>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</si>
  <si>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</si>
  <si>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</si>
  <si>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</si>
  <si>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</si>
  <si>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</si>
  <si>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</si>
  <si>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</si>
  <si>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</si>
  <si>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</si>
  <si>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</si>
  <si>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</si>
  <si>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</si>
  <si>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</si>
  <si>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</si>
  <si>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</si>
  <si>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</si>
  <si>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</si>
  <si>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</si>
  <si>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</si>
  <si>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</si>
  <si>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</si>
  <si>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</si>
  <si>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</si>
  <si>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</si>
  <si>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</si>
  <si>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</si>
  <si>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</si>
  <si>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</si>
  <si>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</si>
  <si>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</si>
  <si>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</si>
  <si>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</si>
  <si>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</si>
  <si>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</si>
  <si>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</si>
  <si>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</si>
  <si>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</si>
  <si>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</si>
  <si>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</si>
  <si>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</si>
  <si>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</si>
  <si>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</si>
  <si>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</si>
  <si>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</si>
  <si>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</si>
  <si>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</si>
  <si>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</si>
  <si>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</si>
  <si>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</si>
  <si>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</si>
  <si>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</si>
  <si>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</si>
  <si>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</si>
  <si>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</si>
  <si>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</si>
  <si>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</si>
  <si>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</si>
  <si>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</si>
  <si>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</si>
  <si>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</si>
  <si>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</si>
  <si>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</si>
  <si>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</si>
  <si>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</si>
  <si>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</si>
  <si>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</si>
  <si>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</si>
  <si>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</si>
  <si>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</si>
  <si>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</si>
  <si>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</si>
  <si>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</si>
  <si>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</si>
  <si>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</si>
  <si>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</si>
  <si>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</si>
  <si>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</si>
  <si>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</si>
  <si>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</si>
  <si>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</si>
  <si>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</si>
  <si>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</si>
  <si>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</si>
  <si>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</si>
  <si>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</si>
  <si>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</si>
  <si>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</si>
  <si>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</si>
  <si>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</si>
  <si>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</si>
  <si>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</si>
  <si>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</si>
  <si>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</si>
  <si>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</si>
  <si>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</si>
  <si>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</si>
  <si>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</si>
  <si>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</si>
  <si>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</si>
  <si>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</si>
  <si>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</si>
  <si>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</si>
  <si>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</si>
  <si>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</si>
  <si>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</si>
  <si>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</si>
  <si>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</si>
  <si>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</si>
  <si>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</si>
  <si>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</si>
  <si>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</si>
  <si>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</si>
  <si>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</si>
  <si>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</si>
  <si>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</si>
  <si>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</si>
  <si>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</si>
  <si>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</si>
  <si>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</si>
  <si>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</si>
  <si>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</si>
  <si>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</si>
  <si>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</si>
  <si>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</si>
  <si>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</si>
  <si>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</si>
  <si>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</si>
  <si>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</si>
  <si>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</si>
  <si>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</si>
  <si>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</si>
  <si>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</si>
  <si>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</si>
  <si>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</si>
  <si>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</si>
  <si>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</si>
  <si>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</si>
  <si>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</si>
  <si>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</si>
  <si>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</si>
  <si>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</si>
  <si>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</si>
  <si>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</si>
  <si>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</si>
  <si>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</si>
  <si>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</si>
  <si>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</si>
  <si>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</si>
  <si>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</si>
  <si>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</si>
  <si>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</si>
  <si>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</si>
  <si>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</si>
  <si>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</si>
  <si>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</si>
  <si>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</si>
  <si>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</si>
  <si>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</si>
  <si>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</si>
  <si>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</si>
  <si>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</si>
  <si>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</si>
  <si>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</si>
  <si>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</si>
  <si>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</si>
  <si>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</si>
  <si>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</si>
  <si>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</si>
  <si>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</si>
  <si>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</si>
  <si>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</si>
  <si>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</si>
  <si>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</si>
  <si>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</si>
  <si>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</si>
  <si>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</si>
  <si>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</si>
  <si>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</si>
  <si>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</si>
  <si>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</si>
  <si>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</si>
  <si>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</si>
  <si>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</si>
  <si>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</si>
  <si>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</si>
  <si>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</si>
  <si>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</si>
  <si>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</si>
  <si>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</si>
  <si>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</si>
  <si>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</si>
  <si>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</si>
  <si>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</si>
  <si>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</si>
  <si>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</si>
  <si>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</si>
  <si>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</si>
  <si>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</si>
  <si>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</si>
  <si>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</si>
  <si>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</si>
  <si>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</si>
  <si>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</si>
  <si>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</si>
  <si>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</si>
  <si>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</si>
  <si>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</si>
  <si>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</si>
  <si>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</si>
  <si>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</si>
  <si>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</si>
  <si>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</si>
  <si>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</si>
  <si>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</si>
  <si>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</si>
  <si>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</si>
  <si>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</si>
  <si>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</si>
  <si>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</si>
  <si>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</si>
  <si>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</si>
  <si>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</si>
  <si>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</si>
  <si>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</si>
  <si>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</si>
  <si>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</si>
  <si>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</si>
  <si>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</si>
  <si>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</si>
  <si>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</si>
  <si>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</si>
  <si>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</si>
  <si>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</si>
  <si>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</si>
  <si>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</si>
  <si>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</si>
  <si>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</si>
  <si>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</si>
  <si>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</si>
  <si>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</si>
  <si>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</si>
  <si>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</si>
  <si>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</si>
  <si>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</si>
  <si>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</si>
  <si>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</si>
  <si>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</si>
  <si>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</si>
  <si>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</si>
  <si>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</si>
  <si>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</si>
  <si>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</si>
  <si>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</si>
  <si>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</si>
  <si>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</si>
  <si>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</si>
  <si>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</si>
  <si>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</si>
  <si>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</si>
  <si>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</si>
  <si>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</si>
  <si>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</si>
  <si>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</si>
  <si>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</si>
  <si>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</si>
  <si>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</si>
  <si>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</si>
  <si>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</si>
  <si>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</si>
  <si>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</si>
  <si>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</si>
  <si>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</si>
  <si>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</si>
  <si>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</si>
  <si>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</si>
  <si>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</si>
  <si>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</si>
  <si>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</si>
  <si>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</si>
  <si>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</si>
  <si>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</si>
  <si>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</si>
  <si>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</si>
  <si>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</si>
  <si>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</si>
  <si>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</si>
  <si>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</si>
  <si>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</si>
  <si>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</si>
  <si>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</si>
  <si>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</si>
  <si>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</si>
  <si>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</si>
  <si>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</si>
  <si>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</si>
  <si>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</si>
  <si>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</si>
  <si>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</si>
  <si>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</si>
  <si>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</si>
  <si>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</si>
  <si>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</si>
  <si>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</si>
  <si>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</si>
  <si>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</si>
  <si>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</si>
  <si>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</si>
  <si>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</si>
  <si>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</si>
  <si>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</si>
  <si>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</si>
  <si>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</si>
  <si>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</si>
  <si>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</si>
  <si>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</si>
  <si>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</si>
  <si>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</si>
  <si>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</si>
  <si>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</si>
  <si>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</si>
  <si>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</si>
  <si>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</si>
  <si>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</si>
  <si>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</si>
  <si>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</si>
  <si>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</si>
  <si>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</si>
  <si>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</si>
  <si>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</si>
  <si>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</si>
  <si>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</si>
  <si>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</si>
  <si>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</si>
  <si>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</si>
  <si>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</si>
  <si>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</si>
  <si>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</si>
  <si>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</si>
  <si>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</si>
  <si>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</si>
  <si>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</si>
  <si>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</si>
  <si>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</si>
  <si>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</si>
  <si>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</si>
  <si>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</si>
  <si>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</si>
  <si>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</si>
  <si>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</si>
  <si>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</si>
  <si>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</si>
  <si>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</si>
  <si>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</si>
  <si>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</si>
  <si>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</si>
  <si>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</si>
  <si>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</si>
  <si>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</si>
  <si>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</si>
  <si>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</si>
  <si>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</si>
  <si>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</si>
  <si>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</si>
  <si>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</si>
  <si>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</si>
  <si>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</si>
  <si>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</si>
  <si>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</si>
  <si>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</si>
  <si>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</si>
  <si>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</si>
  <si>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</si>
  <si>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</si>
  <si>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</si>
  <si>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</si>
  <si>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</si>
  <si>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</si>
  <si>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</si>
  <si>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</si>
  <si>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</si>
  <si>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</si>
  <si>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</si>
  <si>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</si>
  <si>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</si>
  <si>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</si>
  <si>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</si>
  <si>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</si>
  <si>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</si>
  <si>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</si>
  <si>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</si>
  <si>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</si>
  <si>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</si>
  <si>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</si>
  <si>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</si>
  <si>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</si>
  <si>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</si>
  <si>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</si>
  <si>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</si>
  <si>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</si>
  <si>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</si>
  <si>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</si>
  <si>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</si>
  <si>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</si>
  <si>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</si>
  <si>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</si>
  <si>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</si>
  <si>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</si>
  <si>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</si>
  <si>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</si>
  <si>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</si>
  <si>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</si>
  <si>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</si>
  <si>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</si>
  <si>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</si>
  <si>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</si>
  <si>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</si>
  <si>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</si>
  <si>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</si>
  <si>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</si>
  <si>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</si>
  <si>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</si>
  <si>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</si>
  <si>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</si>
  <si>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</si>
  <si>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</si>
  <si>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</si>
  <si>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</si>
  <si>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</si>
  <si>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</si>
  <si>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</si>
  <si>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</si>
  <si>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</si>
  <si>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</si>
  <si>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</si>
  <si>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</si>
  <si>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</si>
  <si>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</si>
  <si>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</si>
  <si>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</si>
  <si>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</si>
  <si>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</si>
  <si>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</si>
  <si>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</si>
  <si>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</si>
  <si>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</si>
  <si>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</si>
  <si>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</si>
  <si>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</si>
  <si>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</si>
  <si>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</si>
  <si>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</si>
  <si>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</si>
  <si>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</si>
  <si>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</si>
  <si>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</si>
  <si>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</si>
  <si>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</si>
  <si>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</si>
  <si>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</si>
  <si>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</si>
  <si>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</si>
  <si>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</si>
  <si>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</si>
  <si>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</si>
  <si>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</si>
  <si>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</si>
  <si>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</si>
  <si>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</si>
  <si>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</si>
  <si>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</si>
  <si>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</si>
  <si>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</si>
  <si>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</si>
  <si>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</si>
  <si>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</si>
  <si>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</si>
  <si>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</si>
  <si>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</si>
  <si>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</si>
  <si>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</si>
  <si>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</si>
  <si>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</si>
  <si>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</si>
  <si>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</si>
  <si>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</si>
  <si>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</si>
  <si>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</si>
  <si>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</si>
  <si>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</si>
  <si>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</si>
  <si>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</si>
  <si>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</si>
  <si>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</si>
  <si>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</si>
  <si>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</si>
  <si>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</si>
  <si>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</si>
  <si>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</si>
  <si>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</si>
  <si>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</si>
  <si>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</si>
  <si>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</si>
  <si>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</si>
  <si>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</si>
  <si>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</si>
  <si>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</si>
  <si>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</si>
  <si>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</si>
  <si>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</si>
  <si>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</si>
  <si>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</si>
  <si>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</si>
  <si>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</si>
  <si>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</si>
  <si>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</si>
  <si>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</si>
  <si>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</si>
  <si>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</si>
  <si>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</si>
  <si>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</si>
  <si>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</si>
  <si>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</si>
  <si>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</si>
  <si>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</si>
  <si>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</si>
  <si>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</si>
  <si>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</si>
  <si>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</si>
  <si>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</si>
  <si>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</si>
  <si>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</si>
  <si>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</si>
  <si>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</si>
  <si>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</si>
  <si>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</si>
  <si>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</si>
  <si>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</si>
  <si>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</si>
  <si>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</si>
  <si>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</si>
  <si>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</si>
  <si>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</si>
  <si>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</si>
  <si>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</si>
  <si>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</si>
  <si>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</si>
  <si>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</si>
  <si>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</si>
  <si>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</si>
  <si>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</si>
  <si>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</si>
  <si>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</si>
  <si>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</si>
  <si>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</si>
  <si>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</si>
  <si>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</si>
  <si>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</si>
  <si>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</si>
  <si>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</si>
  <si>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</si>
  <si>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</si>
  <si>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</si>
  <si>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</si>
  <si>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</si>
  <si>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</si>
  <si>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</si>
  <si>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</si>
  <si>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</si>
  <si>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</si>
  <si>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</si>
  <si>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</si>
  <si>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</si>
  <si>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</si>
  <si>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</si>
  <si>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</si>
  <si>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</si>
  <si>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</si>
  <si>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</si>
  <si>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</si>
  <si>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</si>
  <si>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</si>
  <si>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</si>
  <si>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</si>
  <si>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</si>
  <si>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</si>
  <si>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</si>
  <si>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</si>
  <si>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</si>
  <si>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</si>
  <si>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</si>
  <si>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</si>
  <si>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</si>
  <si>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</si>
  <si>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</si>
  <si>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</si>
  <si>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</si>
  <si>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</si>
  <si>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</si>
  <si>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</si>
  <si>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</si>
  <si>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</si>
  <si>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</si>
  <si>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</si>
  <si>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</si>
  <si>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</si>
  <si>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</si>
  <si>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</si>
  <si>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</si>
  <si>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</si>
  <si>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</si>
  <si>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</si>
  <si>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</si>
  <si>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</si>
  <si>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</si>
  <si>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</si>
  <si>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</si>
  <si>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</si>
  <si>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</si>
  <si>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</si>
  <si>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</si>
  <si>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</si>
  <si>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</si>
  <si>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</si>
  <si>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</si>
  <si>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</si>
  <si>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</si>
  <si>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</si>
  <si>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</si>
  <si>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</si>
  <si>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</si>
  <si>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</si>
  <si>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</si>
  <si>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</si>
  <si>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</si>
  <si>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</si>
  <si>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</si>
  <si>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</si>
  <si>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</si>
  <si>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</si>
  <si>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</si>
  <si>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</si>
  <si>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</si>
  <si>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</si>
  <si>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</si>
  <si>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</si>
  <si>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</si>
  <si>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</si>
  <si>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</si>
  <si>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</si>
  <si>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</si>
  <si>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</si>
  <si>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</si>
  <si>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</si>
  <si>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</si>
  <si>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</si>
  <si>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</si>
  <si>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</si>
  <si>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</si>
  <si>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</si>
  <si>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</si>
  <si>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</si>
  <si>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</si>
  <si>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</si>
  <si>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</si>
  <si>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</si>
  <si>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</si>
  <si>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</si>
  <si>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</si>
  <si>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</si>
  <si>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</si>
  <si>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</si>
  <si>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</si>
  <si>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</si>
  <si>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</si>
  <si>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</si>
  <si>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</si>
  <si>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</si>
  <si>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</si>
  <si>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</si>
  <si>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</si>
  <si>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</si>
  <si>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</si>
  <si>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</si>
  <si>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</si>
  <si>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</si>
  <si>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</si>
  <si>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</si>
  <si>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</si>
  <si>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</si>
  <si>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</si>
  <si>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</si>
  <si>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</si>
  <si>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</si>
  <si>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</si>
  <si>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</si>
  <si>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</si>
  <si>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</si>
  <si>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</si>
  <si>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</si>
  <si>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</si>
  <si>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</si>
  <si>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</si>
  <si>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</si>
  <si>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</si>
  <si>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</si>
  <si>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</si>
  <si>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</si>
  <si>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</si>
  <si>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</si>
  <si>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</si>
  <si>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</si>
  <si>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</si>
  <si>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</si>
  <si>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</si>
  <si>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</si>
  <si>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</si>
  <si>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</si>
  <si>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</si>
  <si>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</si>
  <si>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</si>
  <si>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</si>
  <si>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</si>
  <si>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</si>
  <si>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</si>
  <si>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</si>
  <si>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</si>
  <si>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</si>
  <si>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</si>
  <si>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</si>
  <si>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</si>
  <si>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</si>
  <si>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</si>
  <si>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</si>
  <si>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</si>
  <si>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</si>
  <si>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</si>
  <si>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</si>
  <si>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</si>
  <si>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</si>
  <si>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</si>
  <si>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</si>
  <si>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</si>
  <si>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</si>
  <si>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</si>
  <si>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</si>
  <si>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</si>
  <si>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</si>
  <si>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</si>
  <si>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</si>
  <si>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</si>
  <si>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</si>
  <si>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</si>
  <si>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</si>
  <si>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</si>
  <si>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</si>
  <si>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</si>
  <si>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</si>
  <si>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</si>
  <si>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</si>
  <si>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</si>
  <si>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</si>
  <si>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</si>
  <si>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</si>
  <si>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</si>
  <si>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</si>
  <si>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</si>
  <si>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</si>
  <si>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</si>
  <si>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</si>
  <si>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</si>
  <si>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</si>
  <si>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</si>
  <si>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</si>
  <si>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</si>
  <si>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</si>
  <si>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</si>
  <si>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</si>
  <si>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</si>
  <si>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</si>
  <si>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</si>
  <si>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</si>
  <si>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</si>
  <si>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</si>
  <si>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</si>
  <si>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</si>
  <si>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</si>
  <si>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</si>
  <si>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</si>
  <si>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</si>
  <si>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</si>
  <si>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</si>
  <si>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</si>
  <si>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</si>
  <si>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</si>
  <si>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</si>
  <si>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</si>
  <si>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</si>
  <si>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</si>
  <si>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</si>
  <si>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</si>
  <si>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</si>
  <si>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</si>
  <si>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</si>
  <si>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</si>
  <si>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</si>
  <si>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</si>
  <si>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</si>
  <si>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</si>
  <si>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</si>
  <si>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</si>
  <si>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</si>
  <si>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</si>
  <si>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</si>
  <si>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</si>
  <si>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</si>
  <si>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</si>
  <si>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</si>
  <si>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</si>
  <si>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</si>
  <si>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</si>
  <si>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</si>
  <si>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</si>
  <si>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</si>
  <si>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</si>
  <si>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</si>
  <si>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</si>
  <si>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</si>
  <si>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</si>
  <si>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</si>
  <si>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</si>
  <si>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</si>
  <si>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</si>
  <si>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</si>
  <si>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</si>
  <si>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</si>
  <si>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</si>
  <si>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</si>
  <si>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</si>
  <si>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</si>
  <si>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</si>
  <si>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</si>
  <si>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</si>
  <si>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</si>
  <si>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</si>
  <si>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</si>
  <si>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</si>
  <si>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</si>
  <si>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</si>
  <si>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</si>
  <si>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</si>
  <si>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</si>
  <si>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</si>
  <si>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</si>
  <si>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</si>
  <si>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</si>
  <si>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</si>
  <si>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</si>
  <si>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</si>
  <si>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</si>
  <si>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</si>
  <si>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</si>
  <si>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</si>
  <si>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</si>
  <si>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</si>
  <si>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</si>
  <si>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</si>
  <si>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</si>
  <si>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</si>
  <si>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</si>
  <si>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</si>
  <si>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</si>
  <si>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</si>
  <si>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</si>
  <si>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</si>
  <si>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</si>
  <si>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</si>
  <si>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</si>
  <si>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</si>
  <si>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</si>
  <si>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</si>
  <si>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</si>
  <si>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</si>
  <si>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</si>
  <si>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</si>
  <si>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</si>
  <si>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</si>
  <si>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</si>
  <si>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</si>
  <si>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</si>
  <si>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</si>
  <si>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</si>
  <si>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</si>
  <si>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</si>
  <si>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</si>
  <si>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</si>
  <si>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</si>
  <si>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</si>
  <si>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</si>
  <si>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</si>
  <si>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</si>
  <si>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</si>
  <si>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</si>
  <si>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</si>
  <si>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</si>
  <si>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</si>
  <si>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</si>
  <si>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</si>
  <si>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</si>
  <si>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</si>
  <si>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</si>
  <si>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</si>
  <si>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</si>
  <si>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</si>
  <si>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</si>
  <si>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</si>
  <si>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</si>
  <si>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</si>
  <si>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</si>
  <si>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</si>
  <si>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</si>
  <si>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</si>
  <si>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</si>
  <si>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</si>
  <si>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</si>
  <si>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</si>
  <si>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</si>
  <si>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</si>
  <si>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</si>
  <si>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</si>
  <si>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</si>
  <si>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</si>
  <si>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</si>
  <si>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</si>
  <si>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</si>
  <si>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</si>
  <si>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</si>
  <si>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</si>
  <si>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</si>
  <si>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</si>
  <si>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</si>
  <si>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</si>
  <si>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</si>
  <si>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</si>
  <si>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</si>
  <si>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</si>
  <si>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</si>
  <si>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</si>
  <si>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</si>
  <si>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</si>
  <si>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</si>
  <si>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</si>
  <si>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</si>
  <si>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</si>
  <si>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</si>
  <si>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</si>
  <si>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</si>
  <si>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</si>
  <si>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</si>
  <si>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</si>
  <si>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</si>
  <si>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</si>
  <si>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</si>
  <si>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</si>
  <si>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</si>
  <si>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</si>
  <si>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</si>
  <si>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</si>
  <si>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</si>
  <si>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</si>
  <si>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</si>
  <si>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</si>
  <si>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</si>
  <si>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</si>
  <si>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</si>
  <si>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</si>
  <si>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</si>
  <si>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</si>
  <si>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</si>
  <si>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</si>
  <si>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</si>
  <si>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</si>
  <si>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</si>
  <si>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</si>
  <si>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</si>
  <si>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</si>
  <si>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</si>
  <si>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</si>
  <si>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</si>
  <si>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</si>
  <si>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</si>
  <si>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</si>
  <si>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</si>
  <si>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</si>
  <si>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</si>
  <si>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</si>
  <si>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</si>
  <si>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</si>
  <si>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</si>
  <si>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</si>
  <si>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</si>
  <si>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</si>
  <si>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</si>
  <si>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</si>
  <si>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</si>
  <si>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</si>
  <si>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</si>
  <si>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</si>
  <si>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</si>
  <si>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</si>
  <si>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</si>
  <si>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</si>
  <si>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</si>
  <si>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</si>
  <si>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</si>
  <si>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</si>
  <si>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</si>
  <si>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</si>
  <si>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</si>
  <si>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</si>
  <si>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</si>
  <si>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</si>
  <si>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</si>
  <si>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</si>
  <si>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</si>
  <si>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</si>
  <si>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</si>
  <si>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</si>
  <si>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</si>
  <si>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</si>
  <si>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</si>
  <si>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</si>
  <si>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</si>
  <si>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</si>
  <si>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</si>
  <si>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</si>
  <si>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</si>
  <si>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</si>
  <si>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</si>
  <si>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</si>
  <si>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</si>
  <si>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</si>
  <si>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</si>
  <si>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</si>
  <si>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</si>
  <si>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</si>
  <si>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</si>
  <si>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</si>
  <si>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</si>
  <si>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</si>
  <si>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</si>
  <si>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</si>
  <si>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</si>
  <si>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</si>
  <si>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</si>
  <si>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</si>
  <si>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</si>
  <si>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</si>
  <si>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</si>
  <si>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</si>
  <si>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</si>
  <si>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</si>
  <si>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</si>
  <si>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</si>
  <si>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</si>
  <si>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</si>
  <si>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</si>
  <si>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</si>
  <si>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</si>
  <si>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</si>
  <si>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</si>
  <si>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</si>
  <si>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</si>
  <si>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</si>
  <si>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</si>
  <si>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</si>
  <si>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</si>
  <si>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</si>
  <si>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</si>
  <si>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</si>
  <si>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</si>
  <si>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</si>
  <si>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</si>
  <si>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</si>
  <si>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</si>
  <si>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</si>
  <si>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</si>
  <si>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</si>
  <si>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</si>
  <si>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</si>
  <si>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</si>
  <si>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</si>
  <si>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</si>
  <si>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</si>
  <si>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</si>
  <si>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</si>
  <si>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</si>
  <si>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</si>
  <si>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</si>
  <si>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</si>
  <si>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</si>
  <si>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</si>
  <si>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</si>
  <si>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</si>
  <si>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</si>
  <si>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</si>
  <si>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</si>
  <si>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</si>
  <si>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</si>
  <si>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</si>
  <si>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</si>
  <si>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</si>
  <si>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</si>
  <si>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</si>
  <si>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</si>
  <si>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</si>
  <si>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</si>
  <si>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</si>
  <si>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</si>
  <si>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</si>
  <si>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</si>
  <si>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</si>
  <si>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</si>
  <si>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</si>
  <si>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</si>
  <si>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</si>
  <si>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</si>
  <si>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</si>
  <si>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</si>
  <si>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</si>
  <si>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</si>
  <si>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</si>
  <si>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</si>
  <si>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</si>
  <si>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</si>
  <si>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</si>
  <si>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</si>
  <si>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</si>
  <si>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</si>
  <si>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</si>
  <si>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</si>
  <si>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</si>
  <si>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</si>
  <si>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</si>
  <si>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</si>
  <si>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</si>
  <si>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</si>
  <si>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</si>
  <si>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</si>
  <si>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</si>
  <si>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</si>
  <si>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</si>
  <si>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</si>
  <si>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</si>
  <si>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</si>
  <si>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</si>
  <si>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</si>
  <si>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</si>
  <si>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</si>
  <si>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</si>
  <si>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</si>
  <si>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</si>
  <si>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</si>
  <si>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</si>
  <si>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</si>
  <si>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</si>
  <si>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</si>
  <si>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</si>
  <si>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</si>
  <si>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</si>
  <si>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</si>
  <si>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</si>
  <si>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</si>
  <si>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</si>
  <si>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</si>
  <si>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</si>
  <si>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</si>
  <si>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</si>
  <si>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</si>
  <si>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</si>
  <si>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</si>
  <si>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</si>
  <si>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</si>
  <si>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</si>
  <si>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</si>
  <si>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</si>
  <si>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</si>
  <si>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</si>
  <si>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</si>
  <si>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</si>
  <si>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</si>
  <si>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</si>
  <si>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</si>
  <si>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</si>
  <si>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</si>
  <si>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</si>
  <si>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</si>
  <si>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</si>
  <si>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</si>
  <si>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</si>
  <si>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</si>
  <si>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</si>
  <si>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</si>
  <si>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</si>
  <si>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</si>
  <si>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</si>
  <si>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</si>
  <si>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</si>
  <si>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</si>
  <si>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</si>
  <si>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</si>
  <si>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</si>
  <si>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</si>
  <si>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</si>
  <si>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</si>
  <si>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</si>
  <si>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</si>
  <si>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</si>
  <si>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</si>
  <si>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</si>
  <si>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</si>
  <si>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</si>
  <si>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</si>
  <si>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</si>
  <si>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</si>
  <si>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</si>
  <si>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</si>
  <si>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</si>
  <si>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</si>
  <si>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</si>
  <si>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</si>
  <si>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</si>
  <si>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</si>
  <si>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</si>
  <si>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</si>
  <si>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</si>
  <si>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</si>
  <si>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</si>
  <si>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</si>
  <si>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</si>
  <si>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</si>
  <si>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</si>
  <si>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</si>
  <si>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</si>
  <si>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</si>
  <si>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</si>
  <si>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</si>
  <si>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</si>
  <si>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</si>
  <si>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</si>
  <si>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</si>
  <si>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</si>
  <si>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</si>
  <si>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</si>
  <si>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</si>
  <si>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</si>
  <si>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</si>
  <si>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</si>
  <si>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</si>
  <si>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</si>
  <si>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</si>
  <si>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</si>
  <si>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</si>
  <si>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</si>
  <si>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</si>
  <si>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</si>
  <si>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</si>
  <si>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</si>
  <si>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</si>
  <si>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</si>
  <si>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</si>
  <si>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</si>
  <si>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</si>
  <si>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</si>
  <si>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</si>
  <si>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</si>
  <si>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</si>
  <si>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</si>
  <si>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</si>
  <si>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</si>
  <si>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</si>
  <si>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</si>
  <si>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</si>
  <si>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</si>
  <si>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</si>
  <si>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</si>
  <si>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</si>
  <si>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</si>
  <si>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</si>
  <si>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</si>
  <si>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</si>
  <si>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</si>
  <si>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</si>
  <si>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</si>
  <si>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</si>
  <si>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</si>
  <si>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</si>
  <si>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</si>
  <si>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</si>
  <si>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</si>
  <si>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</si>
  <si>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</si>
  <si>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</si>
  <si>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</si>
  <si>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</si>
  <si>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</si>
  <si>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</si>
  <si>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</si>
  <si>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</si>
  <si>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</si>
  <si>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</si>
  <si>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</si>
  <si>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</si>
  <si>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</si>
  <si>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</si>
  <si>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</si>
  <si>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</si>
  <si>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</si>
  <si>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</si>
  <si>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</si>
  <si>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</si>
  <si>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</si>
  <si>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</si>
  <si>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</si>
  <si>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</si>
  <si>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</si>
  <si>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</si>
  <si>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</si>
  <si>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</si>
  <si>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</si>
  <si>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</si>
  <si>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</si>
  <si>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</si>
  <si>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</si>
  <si>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</si>
  <si>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</si>
  <si>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</si>
  <si>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</si>
  <si>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</si>
  <si>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</si>
  <si>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</si>
  <si>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</si>
  <si>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</si>
  <si>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</si>
  <si>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</si>
  <si>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</si>
  <si>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</si>
  <si>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</si>
  <si>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</si>
  <si>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</si>
  <si>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</si>
  <si>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</si>
  <si>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</si>
  <si>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</si>
  <si>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</si>
  <si>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</si>
  <si>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</si>
  <si>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</si>
  <si>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</si>
  <si>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</si>
  <si>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</si>
  <si>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</si>
  <si>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</si>
  <si>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</si>
  <si>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</si>
  <si>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</si>
  <si>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</si>
  <si>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</si>
  <si>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</si>
  <si>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</si>
  <si>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</si>
  <si>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</si>
  <si>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</si>
  <si>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</si>
  <si>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</si>
  <si>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</si>
  <si>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</si>
  <si>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</si>
  <si>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</si>
  <si>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</si>
  <si>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</si>
  <si>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</si>
  <si>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</si>
  <si>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</si>
  <si>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</si>
  <si>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</si>
  <si>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</si>
  <si>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</si>
  <si>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</si>
  <si>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</si>
  <si>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</si>
  <si>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</si>
  <si>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</si>
  <si>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</si>
  <si>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</si>
  <si>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</si>
  <si>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</si>
  <si>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</si>
  <si>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</si>
  <si>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</si>
  <si>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</si>
  <si>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</si>
  <si>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</si>
  <si>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</si>
  <si>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</si>
  <si>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</si>
  <si>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</si>
  <si>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</si>
  <si>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</si>
  <si>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</si>
  <si>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</si>
  <si>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</si>
  <si>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</si>
  <si>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</si>
  <si>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</si>
  <si>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</si>
  <si>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</si>
  <si>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</si>
  <si>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</si>
  <si>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</si>
  <si>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</si>
  <si>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</si>
  <si>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</si>
  <si>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</si>
  <si>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</si>
  <si>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</si>
  <si>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</si>
  <si>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</si>
  <si>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</si>
  <si>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</si>
  <si>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</si>
  <si>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</si>
  <si>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</si>
  <si>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</si>
  <si>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</si>
  <si>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</si>
  <si>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</si>
  <si>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</si>
  <si>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</si>
  <si>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</si>
  <si>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</si>
  <si>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</si>
  <si>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</si>
  <si>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</si>
  <si>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</si>
  <si>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</si>
  <si>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</si>
  <si>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</si>
  <si>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</si>
  <si>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</si>
  <si>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</si>
  <si>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</si>
  <si>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</si>
  <si>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</si>
  <si>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</si>
  <si>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</si>
  <si>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</si>
  <si>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</si>
  <si>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</si>
  <si>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</si>
  <si>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</si>
  <si>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</si>
  <si>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</si>
  <si>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</si>
  <si>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</si>
  <si>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</si>
  <si>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</si>
  <si>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</si>
  <si>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</si>
  <si>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</si>
  <si>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</si>
  <si>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</si>
  <si>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</si>
  <si>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</si>
  <si>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</si>
  <si>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</si>
  <si>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</si>
  <si>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</si>
  <si>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</si>
  <si>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</si>
  <si>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</si>
  <si>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</si>
  <si>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</si>
  <si>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</si>
  <si>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</si>
  <si>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</si>
  <si>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</si>
  <si>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</si>
  <si>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</si>
  <si>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</si>
  <si>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</si>
  <si>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</si>
  <si>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</si>
  <si>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</si>
  <si>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</si>
  <si>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</si>
  <si>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</si>
  <si>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</si>
  <si>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</si>
  <si>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</si>
  <si>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</si>
  <si>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</si>
  <si>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</si>
  <si>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</si>
  <si>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</si>
  <si>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</si>
  <si>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</si>
  <si>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</si>
  <si>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</si>
  <si>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</si>
  <si>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</si>
  <si>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</si>
  <si>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</si>
  <si>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</si>
  <si>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</si>
  <si>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</si>
  <si>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</si>
  <si>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</si>
  <si>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</si>
  <si>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</si>
  <si>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</si>
  <si>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</si>
  <si>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</si>
  <si>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</si>
  <si>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</si>
  <si>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</si>
  <si>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</si>
  <si>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</si>
  <si>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</si>
  <si>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</si>
  <si>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</si>
  <si>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</si>
  <si>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</si>
  <si>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</si>
  <si>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</si>
  <si>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</si>
  <si>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</si>
  <si>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</si>
  <si>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</si>
  <si>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</si>
  <si>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</si>
  <si>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</si>
  <si>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</si>
  <si>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</si>
  <si>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</si>
  <si>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</si>
  <si>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</si>
  <si>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</si>
  <si>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</si>
  <si>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</si>
  <si>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</si>
  <si>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</si>
  <si>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</si>
  <si>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</si>
  <si>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</si>
  <si>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</si>
  <si>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</si>
  <si>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</si>
  <si>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</si>
  <si>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</si>
  <si>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</si>
  <si>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</si>
  <si>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</si>
  <si>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</si>
  <si>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</si>
  <si>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</si>
  <si>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</si>
  <si>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</si>
  <si>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</si>
  <si>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</si>
  <si>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</si>
  <si>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</si>
  <si>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</si>
  <si>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</si>
  <si>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</si>
  <si>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</si>
  <si>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</si>
  <si>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</si>
  <si>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</si>
  <si>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</si>
  <si>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</si>
  <si>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</si>
  <si>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</si>
  <si>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</si>
  <si>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</si>
  <si>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</si>
  <si>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</si>
  <si>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</si>
  <si>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</si>
  <si>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</si>
  <si>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</si>
  <si>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</si>
  <si>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</si>
  <si>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</si>
  <si>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</si>
  <si>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</si>
  <si>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</si>
  <si>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</si>
  <si>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</si>
  <si>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</si>
  <si>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</si>
  <si>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</si>
  <si>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</si>
  <si>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</si>
  <si>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</si>
  <si>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</si>
  <si>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</si>
  <si>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</si>
  <si>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</si>
  <si>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</si>
  <si>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</si>
  <si>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</si>
  <si>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</si>
  <si>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</si>
  <si>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</si>
  <si>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</si>
  <si>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</si>
  <si>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</si>
  <si>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</si>
  <si>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</si>
  <si>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</si>
  <si>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</si>
  <si>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</si>
  <si>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</si>
  <si>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</si>
  <si>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</si>
  <si>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</si>
  <si>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</si>
  <si>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</si>
  <si>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</si>
  <si>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</si>
  <si>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</si>
  <si>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</si>
  <si>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</si>
  <si>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</si>
  <si>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</si>
  <si>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</si>
  <si>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</si>
  <si>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</si>
  <si>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</si>
  <si>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</si>
  <si>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</si>
  <si>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</si>
  <si>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</si>
  <si>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</si>
  <si>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</si>
  <si>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</si>
  <si>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</si>
  <si>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</si>
  <si>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</si>
  <si>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</si>
  <si>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</si>
  <si>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</si>
  <si>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</si>
  <si>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</si>
  <si>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</si>
  <si>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</si>
  <si>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</si>
  <si>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</si>
  <si>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</si>
  <si>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</si>
  <si>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</si>
  <si>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</si>
  <si>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</si>
  <si>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</si>
  <si>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</si>
  <si>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</si>
  <si>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</si>
  <si>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</si>
  <si>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</si>
  <si>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</si>
  <si>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</si>
  <si>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</si>
  <si>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</si>
  <si>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</si>
  <si>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</si>
  <si>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</si>
  <si>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</si>
  <si>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</si>
  <si>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</si>
  <si>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</si>
  <si>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</si>
  <si>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</si>
  <si>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</si>
  <si>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</si>
  <si>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</si>
  <si>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</si>
  <si>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</si>
  <si>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</si>
  <si>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</si>
  <si>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</si>
  <si>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</si>
  <si>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</si>
  <si>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</si>
  <si>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</si>
  <si>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</si>
  <si>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</si>
  <si>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</si>
  <si>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</si>
  <si>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</si>
  <si>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</si>
  <si>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</si>
  <si>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</si>
  <si>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</si>
  <si>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</si>
  <si>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</si>
  <si>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</si>
  <si>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</si>
  <si>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</si>
  <si>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</si>
  <si>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</si>
  <si>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</si>
  <si>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</si>
  <si>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</si>
  <si>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</si>
  <si>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</si>
  <si>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</si>
  <si>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</si>
  <si>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</si>
  <si>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</si>
  <si>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</si>
  <si>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</si>
  <si>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</si>
  <si>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</si>
  <si>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</si>
  <si>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</si>
  <si>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</si>
  <si>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</si>
  <si>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</si>
  <si>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</si>
  <si>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</si>
  <si>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</si>
  <si>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</si>
  <si>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</si>
  <si>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</si>
  <si>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</si>
  <si>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</si>
  <si>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</si>
  <si>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</si>
  <si>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</si>
  <si>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</si>
  <si>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</si>
  <si>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</si>
  <si>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</si>
  <si>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</si>
  <si>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</si>
  <si>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</si>
  <si>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</si>
  <si>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</si>
  <si>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</si>
  <si>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</si>
  <si>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</si>
  <si>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</si>
  <si>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</si>
  <si>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</si>
  <si>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</si>
  <si>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</si>
  <si>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</si>
  <si>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</si>
  <si>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</si>
  <si>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</si>
  <si>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</si>
  <si>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</si>
  <si>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</si>
  <si>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</si>
  <si>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</si>
  <si>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</si>
  <si>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</si>
  <si>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</si>
  <si>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</si>
  <si>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</si>
  <si>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</si>
  <si>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</si>
  <si>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</si>
  <si>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</si>
  <si>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</si>
  <si>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</si>
  <si>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</si>
  <si>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</si>
  <si>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</si>
  <si>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</si>
  <si>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</si>
  <si>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</si>
  <si>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</si>
  <si>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</si>
  <si>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</si>
  <si>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</si>
  <si>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</si>
  <si>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</si>
  <si>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</si>
  <si>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</si>
  <si>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</si>
  <si>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</si>
  <si>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</si>
  <si>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</si>
  <si>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</si>
  <si>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</si>
  <si>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</si>
  <si>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</si>
  <si>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</si>
  <si>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</si>
  <si>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</si>
  <si>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</si>
  <si>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</si>
  <si>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</si>
  <si>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</si>
  <si>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</si>
  <si>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</si>
  <si>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</si>
  <si>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</si>
  <si>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</si>
  <si>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</si>
  <si>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</si>
  <si>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</si>
  <si>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</si>
  <si>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</si>
  <si>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</si>
  <si>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</si>
  <si>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</si>
  <si>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</si>
  <si>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</si>
  <si>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</si>
  <si>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</si>
  <si>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</si>
  <si>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</si>
  <si>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</si>
  <si>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</si>
  <si>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</si>
  <si>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</si>
  <si>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</si>
  <si>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</si>
  <si>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</si>
  <si>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</si>
  <si>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</si>
  <si>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</si>
  <si>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</si>
  <si>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</si>
  <si>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</si>
  <si>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</si>
  <si>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</si>
  <si>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</si>
  <si>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</si>
  <si>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</si>
  <si>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</si>
  <si>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</si>
  <si>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</si>
  <si>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</si>
  <si>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</si>
  <si>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</si>
  <si>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</si>
  <si>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</si>
  <si>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</si>
  <si>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</si>
  <si>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</si>
  <si>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</si>
  <si>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</si>
  <si>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</si>
  <si>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</si>
  <si>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</si>
  <si>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</si>
  <si>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</si>
  <si>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</si>
  <si>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</si>
  <si>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</si>
  <si>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</si>
  <si>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</si>
  <si>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</si>
  <si>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</si>
  <si>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</si>
  <si>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</si>
  <si>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</si>
  <si>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</si>
  <si>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</si>
  <si>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</si>
  <si>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</si>
  <si>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</si>
  <si>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</si>
  <si>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</si>
  <si>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</si>
  <si>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</si>
  <si>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</si>
  <si>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</si>
  <si>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</si>
  <si>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</si>
  <si>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</si>
  <si>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</si>
  <si>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</si>
  <si>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</si>
  <si>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</si>
  <si>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</si>
  <si>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</si>
  <si>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</si>
  <si>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</si>
  <si>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</si>
  <si>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</si>
  <si>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</si>
  <si>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</si>
  <si>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</si>
  <si>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</si>
  <si>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</si>
  <si>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</si>
  <si>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</si>
  <si>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</si>
  <si>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</si>
  <si>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</si>
  <si>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</si>
  <si>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</si>
  <si>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</si>
  <si>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</si>
  <si>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</si>
  <si>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</si>
  <si>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</si>
  <si>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</si>
  <si>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</si>
  <si>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</si>
  <si>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</si>
  <si>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</si>
  <si>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</si>
  <si>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</si>
  <si>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</si>
  <si>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</si>
  <si>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</si>
  <si>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</si>
  <si>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</si>
  <si>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</si>
  <si>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</si>
  <si>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</si>
  <si>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</si>
  <si>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</si>
  <si>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</si>
  <si>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</si>
  <si>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</si>
  <si>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</si>
  <si>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</si>
  <si>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</si>
  <si>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</si>
  <si>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</si>
  <si>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</si>
  <si>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</si>
  <si>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</si>
  <si>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</si>
  <si>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</si>
  <si>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</si>
  <si>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</si>
  <si>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</si>
  <si>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</si>
  <si>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</si>
  <si>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</si>
  <si>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</si>
  <si>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</si>
  <si>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</si>
  <si>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</si>
  <si>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</si>
  <si>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</si>
  <si>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</si>
  <si>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</si>
  <si>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</si>
  <si>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</si>
  <si>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</si>
  <si>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</si>
  <si>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</si>
  <si>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</si>
  <si>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</si>
  <si>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</si>
  <si>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</si>
  <si>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</si>
  <si>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</si>
  <si>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</si>
  <si>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</si>
  <si>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</si>
  <si>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</si>
  <si>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</si>
  <si>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</si>
  <si>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</si>
  <si>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</si>
  <si>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</si>
  <si>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</si>
  <si>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</si>
  <si>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</si>
  <si>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</si>
  <si>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</si>
  <si>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</si>
  <si>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</si>
  <si>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</si>
  <si>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</si>
  <si>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</si>
  <si>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</si>
  <si>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</si>
  <si>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</si>
  <si>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</si>
  <si>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</si>
  <si>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</si>
  <si>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</si>
  <si>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</si>
  <si>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</si>
  <si>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</si>
  <si>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</si>
  <si>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</si>
  <si>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</si>
  <si>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</si>
  <si>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</si>
  <si>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</si>
  <si>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</si>
  <si>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</si>
  <si>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</si>
  <si>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</si>
  <si>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</si>
  <si>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</si>
  <si>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</si>
  <si>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</si>
  <si>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</si>
  <si>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</si>
  <si>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</si>
  <si>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</si>
  <si>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</si>
  <si>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</si>
  <si>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</si>
  <si>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</si>
  <si>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</si>
  <si>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</si>
  <si>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</si>
  <si>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</si>
  <si>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</si>
  <si>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</si>
  <si>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</si>
  <si>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</si>
  <si>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</si>
  <si>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</si>
  <si>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</si>
  <si>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</si>
  <si>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</si>
  <si>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</si>
  <si>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</si>
  <si>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</si>
  <si>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</si>
  <si>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</si>
  <si>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</si>
  <si>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</si>
  <si>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</si>
  <si>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</si>
  <si>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</si>
  <si>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</si>
  <si>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</si>
  <si>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</si>
  <si>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</si>
  <si>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</si>
  <si>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</si>
  <si>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</si>
  <si>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</si>
  <si>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</si>
  <si>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</si>
  <si>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</si>
  <si>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</si>
  <si>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</si>
  <si>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</si>
  <si>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</si>
  <si>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</si>
  <si>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</si>
  <si>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</si>
  <si>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</si>
  <si>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</si>
  <si>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</si>
  <si>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</si>
  <si>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</si>
  <si>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</si>
  <si>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</si>
  <si>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</si>
  <si>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</si>
  <si>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</si>
  <si>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</si>
  <si>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</si>
  <si>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</si>
  <si>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</si>
  <si>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</si>
  <si>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</si>
  <si>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</si>
  <si>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</si>
  <si>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</si>
  <si>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</si>
  <si>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</si>
  <si>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</si>
  <si>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</si>
  <si>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</si>
  <si>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</si>
  <si>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</si>
  <si>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</si>
  <si>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</si>
  <si>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</si>
  <si>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</si>
  <si>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</si>
  <si>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</si>
  <si>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</si>
  <si>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</si>
  <si>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</si>
  <si>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</si>
  <si>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</si>
  <si>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</si>
  <si>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</si>
  <si>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</si>
  <si>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</si>
  <si>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</si>
  <si>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</si>
  <si>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</si>
  <si>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</si>
  <si>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</si>
  <si>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</si>
  <si>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</si>
  <si>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</si>
  <si>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</si>
  <si>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</si>
  <si>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</si>
  <si>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</si>
  <si>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</si>
  <si>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</si>
  <si>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</si>
  <si>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</si>
  <si>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</si>
  <si>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</si>
  <si>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</si>
  <si>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</si>
  <si>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</si>
  <si>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</si>
  <si>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</si>
  <si>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</si>
  <si>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</si>
  <si>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</si>
  <si>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</si>
  <si>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</si>
  <si>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</si>
  <si>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</si>
  <si>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</si>
  <si>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</si>
  <si>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</si>
  <si>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</si>
  <si>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</si>
  <si>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</si>
  <si>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</si>
  <si>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</si>
  <si>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</si>
  <si>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</si>
  <si>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</si>
  <si>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</si>
  <si>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</si>
  <si>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</si>
  <si>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</si>
  <si>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</si>
  <si>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</si>
  <si>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</si>
  <si>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</si>
  <si>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</si>
  <si>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</si>
  <si>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</si>
  <si>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</si>
  <si>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</si>
  <si>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</si>
  <si>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</si>
  <si>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</si>
  <si>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</si>
  <si>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</si>
  <si>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</si>
  <si>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</si>
  <si>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</si>
  <si>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</si>
  <si>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</si>
  <si>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</si>
  <si>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</si>
  <si>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</si>
  <si>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</si>
  <si>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</si>
  <si>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</si>
  <si>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</si>
  <si>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</si>
  <si>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</si>
  <si>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</si>
  <si>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</si>
  <si>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</si>
  <si>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</si>
  <si>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</si>
  <si>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</si>
  <si>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</si>
  <si>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</si>
  <si>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</si>
  <si>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</si>
  <si>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</si>
  <si>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</si>
  <si>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</si>
  <si>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</si>
  <si>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</si>
  <si>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</si>
  <si>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</si>
  <si>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</si>
  <si>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</si>
  <si>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</si>
  <si>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</si>
  <si>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</si>
  <si>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</si>
  <si>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</si>
  <si>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</si>
  <si>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</si>
  <si>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</si>
  <si>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</si>
  <si>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</si>
  <si>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</si>
  <si>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</si>
  <si>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</si>
  <si>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</si>
  <si>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</si>
  <si>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</si>
  <si>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</si>
  <si>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</si>
  <si>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</si>
  <si>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</si>
  <si>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</si>
  <si>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</si>
  <si>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</si>
  <si>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</si>
  <si>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</si>
  <si>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</si>
  <si>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</si>
  <si>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</si>
  <si>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</si>
  <si>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</si>
  <si>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</si>
  <si>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</si>
  <si>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</si>
  <si>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</si>
  <si>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</si>
  <si>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</si>
  <si>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</si>
  <si>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</si>
  <si>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</si>
  <si>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</si>
  <si>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</si>
  <si>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</si>
  <si>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</si>
  <si>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</si>
  <si>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</si>
  <si>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</si>
  <si>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</si>
  <si>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</si>
  <si>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</si>
  <si>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</si>
  <si>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</si>
  <si>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</si>
  <si>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</si>
  <si>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</si>
  <si>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</si>
  <si>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</si>
  <si>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</si>
  <si>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</si>
  <si>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</si>
  <si>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</si>
  <si>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</si>
  <si>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</si>
  <si>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</si>
  <si>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</si>
  <si>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</si>
  <si>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</si>
  <si>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</si>
  <si>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</si>
  <si>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</si>
  <si>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</si>
  <si>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</si>
  <si>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</si>
  <si>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</si>
  <si>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</si>
  <si>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</si>
  <si>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</si>
  <si>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</si>
  <si>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</si>
  <si>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</si>
  <si>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</si>
  <si>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</si>
  <si>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</si>
  <si>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</si>
  <si>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</si>
  <si>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</si>
  <si>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</si>
  <si>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</si>
  <si>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</si>
  <si>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</si>
  <si>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</si>
  <si>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</si>
  <si>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</si>
  <si>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</si>
  <si>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</si>
  <si>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</si>
  <si>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</si>
  <si>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</si>
  <si>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</si>
  <si>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</si>
  <si>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</si>
  <si>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</si>
  <si>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</si>
  <si>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</si>
  <si>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</si>
  <si>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</si>
  <si>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</si>
  <si>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</si>
  <si>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</si>
  <si>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</si>
  <si>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</si>
  <si>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</si>
  <si>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</si>
  <si>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</si>
  <si>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</si>
  <si>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</si>
  <si>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</si>
  <si>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</si>
  <si>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</si>
  <si>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</si>
  <si>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</si>
  <si>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</si>
  <si>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</si>
  <si>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</si>
  <si>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</si>
  <si>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</si>
  <si>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</si>
  <si>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</si>
  <si>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</si>
  <si>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</si>
  <si>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</si>
  <si>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</si>
  <si>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</si>
  <si>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</si>
  <si>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</si>
  <si>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</si>
  <si>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</si>
  <si>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</si>
  <si>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</si>
  <si>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</si>
  <si>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</si>
  <si>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</si>
  <si>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</si>
  <si>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</si>
  <si>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</si>
  <si>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</si>
  <si>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</si>
  <si>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</si>
  <si>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</si>
  <si>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</si>
  <si>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</si>
  <si>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</si>
  <si>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</si>
  <si>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</si>
  <si>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</si>
  <si>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</si>
  <si>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</si>
  <si>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</si>
  <si>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</si>
  <si>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</si>
  <si>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</si>
  <si>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</si>
  <si>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</si>
  <si>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</si>
  <si>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</si>
  <si>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</si>
  <si>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</si>
  <si>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</si>
  <si>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</si>
  <si>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</si>
  <si>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</si>
  <si>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</si>
  <si>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</si>
  <si>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</si>
  <si>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</si>
  <si>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</si>
  <si>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</si>
  <si>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</si>
  <si>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</si>
  <si>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</si>
  <si>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</si>
  <si>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</si>
  <si>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</si>
  <si>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</si>
  <si>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</si>
  <si>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</si>
  <si>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</si>
  <si>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</si>
  <si>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</si>
  <si>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</si>
  <si>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</si>
  <si>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</si>
  <si>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</si>
  <si>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</si>
  <si>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</si>
  <si>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</si>
  <si>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</si>
  <si>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</si>
  <si>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</si>
  <si>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</si>
  <si>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</si>
  <si>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</si>
  <si>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</si>
  <si>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</si>
  <si>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</si>
  <si>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</si>
  <si>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</si>
  <si>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</si>
  <si>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</si>
  <si>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</si>
  <si>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</si>
  <si>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</si>
  <si>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</si>
  <si>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</si>
  <si>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</si>
  <si>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</si>
  <si>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</si>
  <si>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</si>
  <si>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</si>
  <si>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</si>
  <si>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</si>
  <si>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</si>
  <si>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</si>
  <si>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</si>
  <si>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</si>
  <si>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</si>
  <si>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</si>
  <si>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</si>
  <si>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</si>
  <si>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</si>
  <si>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</si>
  <si>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</si>
  <si>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</si>
  <si>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</si>
  <si>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</si>
  <si>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</si>
  <si>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</si>
  <si>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</si>
  <si>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</si>
  <si>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</si>
  <si>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</si>
  <si>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</si>
  <si>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</si>
  <si>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</si>
  <si>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</si>
  <si>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</si>
  <si>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</si>
  <si>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</si>
  <si>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</si>
  <si>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</si>
  <si>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</si>
  <si>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</si>
  <si>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</si>
  <si>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</si>
  <si>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</si>
  <si>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</si>
  <si>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</si>
  <si>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</si>
  <si>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</si>
  <si>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</si>
  <si>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</si>
  <si>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</si>
  <si>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</si>
  <si>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</si>
  <si>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</si>
  <si>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</si>
  <si>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</si>
  <si>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</si>
  <si>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</si>
  <si>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</si>
  <si>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</si>
  <si>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</si>
  <si>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</si>
  <si>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</si>
  <si>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</si>
  <si>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</si>
  <si>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</si>
  <si>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</si>
  <si>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</si>
  <si>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</si>
  <si>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</si>
  <si>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</si>
  <si>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</si>
  <si>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</si>
  <si>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</si>
  <si>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</si>
  <si>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</si>
  <si>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</si>
  <si>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</si>
  <si>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</si>
  <si>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</si>
  <si>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</si>
  <si>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</si>
  <si>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</si>
  <si>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</si>
  <si>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</si>
  <si>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</si>
  <si>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</si>
  <si>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</si>
  <si>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</si>
  <si>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</si>
  <si>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</si>
  <si>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</si>
  <si>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</si>
  <si>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</si>
  <si>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</si>
  <si>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</si>
  <si>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</si>
  <si>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</si>
  <si>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</si>
  <si>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</si>
  <si>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</si>
  <si>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</si>
  <si>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</si>
  <si>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</si>
  <si>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</si>
  <si>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</si>
  <si>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</si>
  <si>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</si>
  <si>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</si>
  <si>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</si>
  <si>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</si>
  <si>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</si>
  <si>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</si>
  <si>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</si>
  <si>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</si>
  <si>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</si>
  <si>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</si>
  <si>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</si>
  <si>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</si>
  <si>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</si>
  <si>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</si>
  <si>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</si>
  <si>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</si>
  <si>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</si>
  <si>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</si>
  <si>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</si>
  <si>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</si>
  <si>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</si>
  <si>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</si>
  <si>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</si>
  <si>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</si>
  <si>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</si>
  <si>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</si>
  <si>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</si>
  <si>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</si>
  <si>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</si>
  <si>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</si>
  <si>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</si>
  <si>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</si>
  <si>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</si>
  <si>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</si>
  <si>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</si>
  <si>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</si>
  <si>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</si>
  <si>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</si>
  <si>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</si>
  <si>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</si>
  <si>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</si>
  <si>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</si>
  <si>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</si>
  <si>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</si>
  <si>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</si>
  <si>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</si>
  <si>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</si>
  <si>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</si>
  <si>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</si>
  <si>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</si>
  <si>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</si>
  <si>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</si>
  <si>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</si>
  <si>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</si>
  <si>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</si>
  <si>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</si>
  <si>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</si>
  <si>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</si>
  <si>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</si>
  <si>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</si>
  <si>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</si>
  <si>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</si>
  <si>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</si>
  <si>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</si>
  <si>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</si>
  <si>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</si>
  <si>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</si>
  <si>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</si>
  <si>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</si>
  <si>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</si>
  <si>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</si>
  <si>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</si>
  <si>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</si>
  <si>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</si>
  <si>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</si>
  <si>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</si>
  <si>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</si>
  <si>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</si>
  <si>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</si>
  <si>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</si>
  <si>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</si>
  <si>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</si>
  <si>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</si>
  <si>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</si>
  <si>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</si>
  <si>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</si>
  <si>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</si>
  <si>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</si>
  <si>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</si>
  <si>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</si>
  <si>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</si>
  <si>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</si>
  <si>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</si>
  <si>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</si>
  <si>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</si>
  <si>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</si>
  <si>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</si>
  <si>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</si>
  <si>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</si>
  <si>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</si>
  <si>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</si>
  <si>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</si>
  <si>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</si>
  <si>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</si>
  <si>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</si>
  <si>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</si>
  <si>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</si>
  <si>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</si>
  <si>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</si>
  <si>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</si>
  <si>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</si>
  <si>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</si>
  <si>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</si>
  <si>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</si>
  <si>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</si>
  <si>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</si>
  <si>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</si>
  <si>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</si>
  <si>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</si>
  <si>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</si>
  <si>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</si>
  <si>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</si>
  <si>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</si>
  <si>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</si>
  <si>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</si>
  <si>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</si>
  <si>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</si>
  <si>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</si>
  <si>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</si>
  <si>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</si>
  <si>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</si>
  <si>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</si>
  <si>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</si>
  <si>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</si>
  <si>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</si>
  <si>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</si>
  <si>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</si>
  <si>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</si>
  <si>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</si>
  <si>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</si>
  <si>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</si>
  <si>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</si>
  <si>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</si>
  <si>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</si>
  <si>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</si>
  <si>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</si>
  <si>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</si>
  <si>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</si>
  <si>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</si>
  <si>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</si>
  <si>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</si>
  <si>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</si>
  <si>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</si>
  <si>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</si>
  <si>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</si>
  <si>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</si>
  <si>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</si>
  <si>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</si>
  <si>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</si>
  <si>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</si>
  <si>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</si>
  <si>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</si>
  <si>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</si>
  <si>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</si>
  <si>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</si>
  <si>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</si>
  <si>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</si>
  <si>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</si>
  <si>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</si>
  <si>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</si>
  <si>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</si>
  <si>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</si>
  <si>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</si>
  <si>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</si>
  <si>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</si>
  <si>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</si>
  <si>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</si>
  <si>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</si>
  <si>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</si>
  <si>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</si>
  <si>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</si>
  <si>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</si>
  <si>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</si>
  <si>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</si>
  <si>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</si>
  <si>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</si>
  <si>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</si>
  <si>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</si>
  <si>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</si>
  <si>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</si>
  <si>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</si>
  <si>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</si>
  <si>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</si>
  <si>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</si>
  <si>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</si>
  <si>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</si>
  <si>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</si>
  <si>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</si>
  <si>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</si>
  <si>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</si>
  <si>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</si>
  <si>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</si>
  <si>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</si>
  <si>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</si>
  <si>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</si>
  <si>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</si>
  <si>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</si>
  <si>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</si>
  <si>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</si>
  <si>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</si>
  <si>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</si>
  <si>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</si>
  <si>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</si>
  <si>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</si>
  <si>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</si>
  <si>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</si>
  <si>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</si>
  <si>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</si>
  <si>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</si>
  <si>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</si>
  <si>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</si>
  <si>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</si>
  <si>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</si>
  <si>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</si>
  <si>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</si>
  <si>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</si>
  <si>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</si>
  <si>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</si>
  <si>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</si>
  <si>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</si>
  <si>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</si>
  <si>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</si>
  <si>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</si>
  <si>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</si>
  <si>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</si>
  <si>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</si>
  <si>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</si>
  <si>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</si>
  <si>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</si>
  <si>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</si>
  <si>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</si>
  <si>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</si>
  <si>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</si>
  <si>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</si>
  <si>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</si>
  <si>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</si>
  <si>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</si>
  <si>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</si>
  <si>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</si>
  <si>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</si>
  <si>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</si>
  <si>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</si>
  <si>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</si>
  <si>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</si>
  <si>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</si>
  <si>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</si>
  <si>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</si>
  <si>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</si>
  <si>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</si>
  <si>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</si>
  <si>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</si>
  <si>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</si>
  <si>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</si>
  <si>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</si>
  <si>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</si>
  <si>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</si>
  <si>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</si>
  <si>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</si>
  <si>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</si>
  <si>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</si>
  <si>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</si>
  <si>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</si>
  <si>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</si>
  <si>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</si>
  <si>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</si>
  <si>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</si>
  <si>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</si>
  <si>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</si>
  <si>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</si>
  <si>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</si>
  <si>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</si>
  <si>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</si>
  <si>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</si>
  <si>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</si>
  <si>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</si>
  <si>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</si>
  <si>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</si>
  <si>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</si>
  <si>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</si>
  <si>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</si>
  <si>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</si>
  <si>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</si>
  <si>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</si>
  <si>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</si>
  <si>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</si>
  <si>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</si>
  <si>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</si>
  <si>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</si>
  <si>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</si>
  <si>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</si>
  <si>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</si>
  <si>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</si>
  <si>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</si>
  <si>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</si>
  <si>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</si>
  <si>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</si>
  <si>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</si>
  <si>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</si>
  <si>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</si>
  <si>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</si>
  <si>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</si>
  <si>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</si>
  <si>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</si>
  <si>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</si>
  <si>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</si>
  <si>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</si>
  <si>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</si>
  <si>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</si>
  <si>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</si>
  <si>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</si>
  <si>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</si>
  <si>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</si>
  <si>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</si>
  <si>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</si>
  <si>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</si>
  <si>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</si>
  <si>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</si>
  <si>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</si>
  <si>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</si>
  <si>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</si>
  <si>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</si>
  <si>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</si>
  <si>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</si>
  <si>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</si>
  <si>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</si>
  <si>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</si>
  <si>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</si>
  <si>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</si>
  <si>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</si>
  <si>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</si>
  <si>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</si>
  <si>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</si>
  <si>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</si>
  <si>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</si>
  <si>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</si>
  <si>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</si>
  <si>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</si>
  <si>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</si>
  <si>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</si>
  <si>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</si>
  <si>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</si>
  <si>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</si>
  <si>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</si>
  <si>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</si>
  <si>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</si>
  <si>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</si>
  <si>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</si>
  <si>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</si>
  <si>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</si>
  <si>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</si>
  <si>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</si>
  <si>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</si>
  <si>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</si>
  <si>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</si>
  <si>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</si>
  <si>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</si>
  <si>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</si>
  <si>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</si>
  <si>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</si>
  <si>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</si>
  <si>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</si>
  <si>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</si>
  <si>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</si>
  <si>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</si>
  <si>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</si>
  <si>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</si>
  <si>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</si>
  <si>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</si>
  <si>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</si>
  <si>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</si>
  <si>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</si>
  <si>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</si>
  <si>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</si>
  <si>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</si>
  <si>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</si>
  <si>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</si>
  <si>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</si>
  <si>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</si>
  <si>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</si>
  <si>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</si>
  <si>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</si>
  <si>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</si>
  <si>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</si>
  <si>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</si>
  <si>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</si>
  <si>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</si>
  <si>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</si>
  <si>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</si>
  <si>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</si>
  <si>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</si>
  <si>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</si>
  <si>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</si>
  <si>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</si>
  <si>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</si>
  <si>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</si>
  <si>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</si>
  <si>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</si>
  <si>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</si>
  <si>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</si>
  <si>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</si>
  <si>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</si>
  <si>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</si>
  <si>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</si>
  <si>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</si>
  <si>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</si>
  <si>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</si>
  <si>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</si>
  <si>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</si>
  <si>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</si>
  <si>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</si>
  <si>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</si>
  <si>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</si>
  <si>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</si>
  <si>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</si>
  <si>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</si>
  <si>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</si>
  <si>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</si>
  <si>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</si>
  <si>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</si>
  <si>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</si>
  <si>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</si>
  <si>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</si>
  <si>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</si>
  <si>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</si>
  <si>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</si>
  <si>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</si>
  <si>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</si>
  <si>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</si>
  <si>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</si>
  <si>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</si>
  <si>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</si>
  <si>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</si>
  <si>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</si>
  <si>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</si>
  <si>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</si>
  <si>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</si>
  <si>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</si>
  <si>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</si>
  <si>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</si>
  <si>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</si>
  <si>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</si>
  <si>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</si>
  <si>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</si>
  <si>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</si>
  <si>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</si>
  <si>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</si>
  <si>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</si>
  <si>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</si>
  <si>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</si>
  <si>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</si>
  <si>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</si>
  <si>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</si>
  <si>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</si>
  <si>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</si>
  <si>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</si>
  <si>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</si>
  <si>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</si>
  <si>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</si>
  <si>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</si>
  <si>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</si>
  <si>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</si>
  <si>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</si>
  <si>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</si>
  <si>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</si>
  <si>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</si>
  <si>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</si>
  <si>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</si>
  <si>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</si>
  <si>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</si>
  <si>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</si>
  <si>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</si>
  <si>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</si>
  <si>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</si>
  <si>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</si>
  <si>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</si>
  <si>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</si>
  <si>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</si>
  <si>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</si>
  <si>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</si>
  <si>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</si>
  <si>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</si>
  <si>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</si>
  <si>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</si>
  <si>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</si>
  <si>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</si>
  <si>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</si>
  <si>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</si>
  <si>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</si>
  <si>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</si>
  <si>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</si>
  <si>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</si>
  <si>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</si>
  <si>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</si>
  <si>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</si>
  <si>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</si>
  <si>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</si>
  <si>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</si>
  <si>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</si>
  <si>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</si>
  <si>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</si>
  <si>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</si>
  <si>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</si>
  <si>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</si>
  <si>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</si>
  <si>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</si>
  <si>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</si>
  <si>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</si>
  <si>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</si>
  <si>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</si>
  <si>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</si>
  <si>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</si>
  <si>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</si>
  <si>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</si>
  <si>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</si>
  <si>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</si>
  <si>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</si>
  <si>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</si>
  <si>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</si>
  <si>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</si>
  <si>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</si>
  <si>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</si>
  <si>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</si>
  <si>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</si>
  <si>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</si>
  <si>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</si>
  <si>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</si>
  <si>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</si>
  <si>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</si>
  <si>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</si>
  <si>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</si>
  <si>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</si>
  <si>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</si>
  <si>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</si>
  <si>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</si>
  <si>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</si>
  <si>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</si>
  <si>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</si>
  <si>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</si>
  <si>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</si>
  <si>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</si>
  <si>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</si>
  <si>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</si>
  <si>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</si>
  <si>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</si>
  <si>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</si>
  <si>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</si>
  <si>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</si>
  <si>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</si>
  <si>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</si>
  <si>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</si>
  <si>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</si>
  <si>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</si>
  <si>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</si>
  <si>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</si>
  <si>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</si>
  <si>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</si>
  <si>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</si>
  <si>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</si>
  <si>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</si>
  <si>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</si>
  <si>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</si>
  <si>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</si>
  <si>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</si>
  <si>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</si>
  <si>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</si>
  <si>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</si>
  <si>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</si>
  <si>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</si>
  <si>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</si>
  <si>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</si>
  <si>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</si>
  <si>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</si>
  <si>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</si>
  <si>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</si>
  <si>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</si>
  <si>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</si>
  <si>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</si>
  <si>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</si>
  <si>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</si>
  <si>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</si>
  <si>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</si>
  <si>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</si>
  <si>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</si>
  <si>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</si>
  <si>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</si>
  <si>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</si>
  <si>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</si>
  <si>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</si>
  <si>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</si>
  <si>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</si>
  <si>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</si>
  <si>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</si>
  <si>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</si>
  <si>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</si>
  <si>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</si>
  <si>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</si>
  <si>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</si>
  <si>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</si>
  <si>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</si>
  <si>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</si>
  <si>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</si>
  <si>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</si>
  <si>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</si>
  <si>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</si>
  <si>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</si>
  <si>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</si>
  <si>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</si>
  <si>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</si>
  <si>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</si>
  <si>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</si>
  <si>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</si>
  <si>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</si>
  <si>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</si>
  <si>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</si>
  <si>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</si>
  <si>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</si>
  <si>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</si>
  <si>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</si>
  <si>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</si>
  <si>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</si>
  <si>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</si>
  <si>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</si>
  <si>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</si>
  <si>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</si>
  <si>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</si>
  <si>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</si>
  <si>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</si>
  <si>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</si>
  <si>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</si>
  <si>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</si>
  <si>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</si>
  <si>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</si>
  <si>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</si>
  <si>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</si>
  <si>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</si>
  <si>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</si>
  <si>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</si>
  <si>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</si>
  <si>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</si>
  <si>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</si>
  <si>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</si>
  <si>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</si>
  <si>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</si>
  <si>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</si>
  <si>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</si>
  <si>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</si>
  <si>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</si>
  <si>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</si>
  <si>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</si>
  <si>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</si>
  <si>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</si>
  <si>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</si>
  <si>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</si>
  <si>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</si>
  <si>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</si>
  <si>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</si>
  <si>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</si>
  <si>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</si>
  <si>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</si>
  <si>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</si>
  <si>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</si>
  <si>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</si>
  <si>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</si>
  <si>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</si>
  <si>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</si>
  <si>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</si>
  <si>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</si>
  <si>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</si>
  <si>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</si>
  <si>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</si>
  <si>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</si>
  <si>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</si>
  <si>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</si>
  <si>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</si>
  <si>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</si>
  <si>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</si>
  <si>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</si>
  <si>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</si>
  <si>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</si>
  <si>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</si>
  <si>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</si>
  <si>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</si>
  <si>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</si>
  <si>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</si>
  <si>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</si>
  <si>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</si>
  <si>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</si>
  <si>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</si>
  <si>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</si>
  <si>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</si>
  <si>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</si>
  <si>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</si>
  <si>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</si>
  <si>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</si>
  <si>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</si>
  <si>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</si>
  <si>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</si>
  <si>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</si>
  <si>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</si>
  <si>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</si>
  <si>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</si>
  <si>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</si>
  <si>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</si>
  <si>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</si>
  <si>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</si>
  <si>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</si>
  <si>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</si>
  <si>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</si>
  <si>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</si>
  <si>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</si>
  <si>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</si>
  <si>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</si>
  <si>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</si>
  <si>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</si>
  <si>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</si>
  <si>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</si>
  <si>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</si>
  <si>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</si>
  <si>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</si>
  <si>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</si>
  <si>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</si>
  <si>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</si>
  <si>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</si>
  <si>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</si>
  <si>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</si>
  <si>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</si>
  <si>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</si>
  <si>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</si>
  <si>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</si>
  <si>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</si>
  <si>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</si>
  <si>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</si>
  <si>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</si>
  <si>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</si>
  <si>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</si>
  <si>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</si>
  <si>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</si>
  <si>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</si>
  <si>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</si>
  <si>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</si>
  <si>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</si>
  <si>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</si>
  <si>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</si>
  <si>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</si>
  <si>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</si>
  <si>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</si>
  <si>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</si>
  <si>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</si>
  <si>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</si>
  <si>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</si>
  <si>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</si>
  <si>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</si>
  <si>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</si>
  <si>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</si>
  <si>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</si>
  <si>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</si>
  <si>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</si>
  <si>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</si>
  <si>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</si>
  <si>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</si>
  <si>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</si>
  <si>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</si>
  <si>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</si>
  <si>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</si>
  <si>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</si>
  <si>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</si>
  <si>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</si>
  <si>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</si>
  <si>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</si>
  <si>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</si>
  <si>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</si>
  <si>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</si>
  <si>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</si>
  <si>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</si>
  <si>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</si>
  <si>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</si>
  <si>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</si>
  <si>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</si>
  <si>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</si>
  <si>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</si>
  <si>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</si>
  <si>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</si>
  <si>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</si>
  <si>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</si>
  <si>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</si>
  <si>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</si>
  <si>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</si>
  <si>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</si>
  <si>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</si>
  <si>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</si>
  <si>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</si>
  <si>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</si>
  <si>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</si>
  <si>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</si>
  <si>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</si>
  <si>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</si>
  <si>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</si>
  <si>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</si>
  <si>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</si>
  <si>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</si>
  <si>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</si>
  <si>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</si>
  <si>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</si>
  <si>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</si>
  <si>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</si>
  <si>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</si>
  <si>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</si>
  <si>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</si>
  <si>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</si>
  <si>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</si>
  <si>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</si>
  <si>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</si>
  <si>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</si>
  <si>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</si>
  <si>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</si>
  <si>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</si>
  <si>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</si>
  <si>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</si>
  <si>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</si>
  <si>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</si>
  <si>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</si>
  <si>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</si>
  <si>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</si>
  <si>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</si>
  <si>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</si>
  <si>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</si>
  <si>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</si>
  <si>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</si>
  <si>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</si>
  <si>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</si>
  <si>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</si>
  <si>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</si>
  <si>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</si>
  <si>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</si>
  <si>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</si>
  <si>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</si>
  <si>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</si>
  <si>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</si>
  <si>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</si>
  <si>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</si>
  <si>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</si>
  <si>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</si>
  <si>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</si>
  <si>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</si>
  <si>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</si>
  <si>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</si>
  <si>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</si>
  <si>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</si>
  <si>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</si>
  <si>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</si>
  <si>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</si>
  <si>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</si>
  <si>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</si>
  <si>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</si>
  <si>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</si>
  <si>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</si>
  <si>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</si>
  <si>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</si>
  <si>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</si>
  <si>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</si>
  <si>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</si>
  <si>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</si>
  <si>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</si>
  <si>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</si>
  <si>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</si>
  <si>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</si>
  <si>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</si>
  <si>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</si>
  <si>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</si>
  <si>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</si>
  <si>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</si>
  <si>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</si>
  <si>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</si>
  <si>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</si>
  <si>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</si>
  <si>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</si>
  <si>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</si>
  <si>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</si>
  <si>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</si>
  <si>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</si>
  <si>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</si>
  <si>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</si>
  <si>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</si>
  <si>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</si>
  <si>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</si>
  <si>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</si>
  <si>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</si>
  <si>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</si>
  <si>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</si>
  <si>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</si>
  <si>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</si>
  <si>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</si>
  <si>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</si>
  <si>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</si>
  <si>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</si>
  <si>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</si>
  <si>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</si>
  <si>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</si>
  <si>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</si>
  <si>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</si>
  <si>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</si>
  <si>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</si>
  <si>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</si>
  <si>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</si>
  <si>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</si>
  <si>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</si>
  <si>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</si>
  <si>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</si>
  <si>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</si>
  <si>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</si>
  <si>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</si>
  <si>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</si>
  <si>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</si>
  <si>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</si>
  <si>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</si>
  <si>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</si>
  <si>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</si>
  <si>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</si>
  <si>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</si>
  <si>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</si>
  <si>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</si>
  <si>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</si>
  <si>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</si>
  <si>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</si>
  <si>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</si>
  <si>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</si>
  <si>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</si>
  <si>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</si>
  <si>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</si>
  <si>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</si>
  <si>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</si>
  <si>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</si>
  <si>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</si>
  <si>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</si>
  <si>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</si>
  <si>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</si>
  <si>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</si>
  <si>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</si>
  <si>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</si>
  <si>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</si>
  <si>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</si>
  <si>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</si>
  <si>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</si>
  <si>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</si>
  <si>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</si>
  <si>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</si>
  <si>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</si>
  <si>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</si>
  <si>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</si>
  <si>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</si>
  <si>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</si>
  <si>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</si>
  <si>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</si>
  <si>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</si>
  <si>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</si>
  <si>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</si>
  <si>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</si>
  <si>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</si>
  <si>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</si>
  <si>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</si>
  <si>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</si>
  <si>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</si>
  <si>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</si>
  <si>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</si>
  <si>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</si>
  <si>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</si>
  <si>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</si>
  <si>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</si>
  <si>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</si>
  <si>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</si>
  <si>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</si>
  <si>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</si>
  <si>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</si>
  <si>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</si>
  <si>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</si>
  <si>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</si>
  <si>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</si>
  <si>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</si>
  <si>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</si>
  <si>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</si>
  <si>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</si>
  <si>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</si>
  <si>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</si>
  <si>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</si>
  <si>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</si>
  <si>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</si>
  <si>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</si>
  <si>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</si>
  <si>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</si>
  <si>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</si>
  <si>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</si>
  <si>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</si>
  <si>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</si>
  <si>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</si>
  <si>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</si>
  <si>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</si>
  <si>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</si>
  <si>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</si>
  <si>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</si>
  <si>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</si>
  <si>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</si>
  <si>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</si>
  <si>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</si>
  <si>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</si>
  <si>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</si>
  <si>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</si>
  <si>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</si>
  <si>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</si>
  <si>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</si>
  <si>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</si>
  <si>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</si>
  <si>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</si>
  <si>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</si>
  <si>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</si>
  <si>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</si>
  <si>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</si>
  <si>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</si>
  <si>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</si>
  <si>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</si>
  <si>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</si>
  <si>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</si>
  <si>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</si>
  <si>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</si>
  <si>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</si>
  <si>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</si>
  <si>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</si>
  <si>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</si>
  <si>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</si>
  <si>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</si>
  <si>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</si>
  <si>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</si>
  <si>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</si>
  <si>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</si>
  <si>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</si>
  <si>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</si>
  <si>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</si>
  <si>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</si>
  <si>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</si>
  <si>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</si>
  <si>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</si>
  <si>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</si>
  <si>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</si>
  <si>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</si>
  <si>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</si>
  <si>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</si>
  <si>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</si>
  <si>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</si>
  <si>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</si>
  <si>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</si>
  <si>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</si>
  <si>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</si>
  <si>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</si>
  <si>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</si>
  <si>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</si>
  <si>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</si>
  <si>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</si>
  <si>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</si>
  <si>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</si>
  <si>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</si>
  <si>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</si>
  <si>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</si>
  <si>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</si>
  <si>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</si>
  <si>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</si>
  <si>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</si>
  <si>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</si>
  <si>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</si>
  <si>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</si>
  <si>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</si>
  <si>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</si>
  <si>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</si>
  <si>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</si>
  <si>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</si>
  <si>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</si>
  <si>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</si>
  <si>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</si>
  <si>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</si>
  <si>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</si>
  <si>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</si>
  <si>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</si>
  <si>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</si>
  <si>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</si>
  <si>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</si>
  <si>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</si>
  <si>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</si>
  <si>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</si>
  <si>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</si>
  <si>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</si>
  <si>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</si>
  <si>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</si>
  <si>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</si>
  <si>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</si>
  <si>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</si>
  <si>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</si>
  <si>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</si>
  <si>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</si>
  <si>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</si>
  <si>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</si>
  <si>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</si>
  <si>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</si>
  <si>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</si>
  <si>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</si>
  <si>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</si>
  <si>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</si>
  <si>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</si>
  <si>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</si>
  <si>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</si>
  <si>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</si>
  <si>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</si>
  <si>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</si>
  <si>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</si>
  <si>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</si>
  <si>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</si>
  <si>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</si>
  <si>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</si>
  <si>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</si>
  <si>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</si>
  <si>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</si>
  <si>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</si>
  <si>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</si>
  <si>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</si>
  <si>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</si>
  <si>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</si>
  <si>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</si>
  <si>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</si>
  <si>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</si>
  <si>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</si>
  <si>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</si>
  <si>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</si>
  <si>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</si>
  <si>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</si>
  <si>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</si>
  <si>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</si>
  <si>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</si>
  <si>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</si>
  <si>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</si>
  <si>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</si>
  <si>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</si>
  <si>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</si>
  <si>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</si>
  <si>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</si>
  <si>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</si>
  <si>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</si>
  <si>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</si>
  <si>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</si>
  <si>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</si>
  <si>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</si>
  <si>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</si>
  <si>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</si>
  <si>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</si>
  <si>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</si>
  <si>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</si>
  <si>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</si>
  <si>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</si>
  <si>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</si>
  <si>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</si>
  <si>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</si>
  <si>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</si>
  <si>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</si>
  <si>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</si>
  <si>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</si>
  <si>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</si>
  <si>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</si>
  <si>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</si>
  <si>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</si>
  <si>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</si>
  <si>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</si>
  <si>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</si>
  <si>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</si>
  <si>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</si>
  <si>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</si>
  <si>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</si>
  <si>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</si>
  <si>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</si>
  <si>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</si>
  <si>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</si>
  <si>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</si>
  <si>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</si>
  <si>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</si>
  <si>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</si>
  <si>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</si>
  <si>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</si>
  <si>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</si>
  <si>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</si>
  <si>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</si>
  <si>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</si>
  <si>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</si>
  <si>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</si>
  <si>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</si>
  <si>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</si>
  <si>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</si>
  <si>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</si>
  <si>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</si>
  <si>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</si>
  <si>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</si>
  <si>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</si>
  <si>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</si>
  <si>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</si>
  <si>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</si>
  <si>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</si>
  <si>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</si>
  <si>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</si>
  <si>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</si>
  <si>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</si>
  <si>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</si>
  <si>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</si>
  <si>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</si>
  <si>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</si>
  <si>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</si>
  <si>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</si>
  <si>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</si>
  <si>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</si>
  <si>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</si>
  <si>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</si>
  <si>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</si>
  <si>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</si>
  <si>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</si>
  <si>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</si>
  <si>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</si>
  <si>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</si>
  <si>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</si>
  <si>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</si>
  <si>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</si>
  <si>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</si>
  <si>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</si>
  <si>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</si>
  <si>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</si>
  <si>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</si>
  <si>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</si>
  <si>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</si>
  <si>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</si>
  <si>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</si>
  <si>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</si>
  <si>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</si>
  <si>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</si>
  <si>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</si>
  <si>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</si>
  <si>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</si>
  <si>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</si>
  <si>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</si>
  <si>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</si>
  <si>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</si>
  <si>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</si>
  <si>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</si>
  <si>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</si>
  <si>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</si>
  <si>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</si>
  <si>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</si>
  <si>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</si>
  <si>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</si>
  <si>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</si>
  <si>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</si>
  <si>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</si>
  <si>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</si>
  <si>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</si>
  <si>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</si>
  <si>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</si>
  <si>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</si>
  <si>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</si>
  <si>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</si>
  <si>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</si>
  <si>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</si>
  <si>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</si>
  <si>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</si>
  <si>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</si>
  <si>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</si>
  <si>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</si>
  <si>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</si>
  <si>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</si>
  <si>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</si>
  <si>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</si>
  <si>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</si>
  <si>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</si>
  <si>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</si>
  <si>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</si>
  <si>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</si>
  <si>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</si>
  <si>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</si>
  <si>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</si>
  <si>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</si>
  <si>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</si>
  <si>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</si>
  <si>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</si>
  <si>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</si>
  <si>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</si>
  <si>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</si>
  <si>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</si>
  <si>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</si>
  <si>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</si>
  <si>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</si>
  <si>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</si>
  <si>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</si>
  <si>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</si>
  <si>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</si>
  <si>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</si>
  <si>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</si>
  <si>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</si>
  <si>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</si>
  <si>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</si>
  <si>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</si>
  <si>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</si>
  <si>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</si>
  <si>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</si>
  <si>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</si>
  <si>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</si>
  <si>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</si>
  <si>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</si>
  <si>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</si>
  <si>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</si>
  <si>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</si>
  <si>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</si>
  <si>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</si>
  <si>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</si>
  <si>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</si>
  <si>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</si>
  <si>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</si>
  <si>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</si>
  <si>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</si>
  <si>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</si>
  <si>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</si>
  <si>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</si>
  <si>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</si>
  <si>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</si>
  <si>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</si>
  <si>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</si>
  <si>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</si>
  <si>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</si>
  <si>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</si>
  <si>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</si>
  <si>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</si>
  <si>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</si>
  <si>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</si>
  <si>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</si>
  <si>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</si>
  <si>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</si>
  <si>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</si>
  <si>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</si>
  <si>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</si>
  <si>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</si>
  <si>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</si>
  <si>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</si>
  <si>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</si>
  <si>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</si>
  <si>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</si>
  <si>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</si>
  <si>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</si>
  <si>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</si>
  <si>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</si>
  <si>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</si>
  <si>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</si>
  <si>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</si>
  <si>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</si>
  <si>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</si>
  <si>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</si>
  <si>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</si>
  <si>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</si>
  <si>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</si>
  <si>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</si>
  <si>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</si>
  <si>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</si>
  <si>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</si>
  <si>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</si>
  <si>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</si>
  <si>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</si>
  <si>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</si>
  <si>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</si>
  <si>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</si>
  <si>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</si>
  <si>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</si>
  <si>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</si>
  <si>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</si>
  <si>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</si>
  <si>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</si>
  <si>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</si>
  <si>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</si>
  <si>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</si>
  <si>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</si>
  <si>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</si>
  <si>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</si>
  <si>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</si>
  <si>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</si>
  <si>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</si>
  <si>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</si>
  <si>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</si>
  <si>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</si>
  <si>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</si>
  <si>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</si>
  <si>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</si>
  <si>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</si>
  <si>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</si>
  <si>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</si>
  <si>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</si>
  <si>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</si>
  <si>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</si>
  <si>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</si>
  <si>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</si>
  <si>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</si>
  <si>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</si>
  <si>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</si>
  <si>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</si>
  <si>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</si>
  <si>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</si>
  <si>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</si>
  <si>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</si>
  <si>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</si>
  <si>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</si>
  <si>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</si>
  <si>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</si>
  <si>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</si>
  <si>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</si>
  <si>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</si>
  <si>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</si>
  <si>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</si>
  <si>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</si>
  <si>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</si>
  <si>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</si>
  <si>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</si>
  <si>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</si>
  <si>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</si>
  <si>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</si>
  <si>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</si>
  <si>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</si>
  <si>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</si>
  <si>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</si>
  <si>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</si>
  <si>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</si>
  <si>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</si>
  <si>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</si>
  <si>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</si>
  <si>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</si>
  <si>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</si>
  <si>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</si>
  <si>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</si>
  <si>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</si>
  <si>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</si>
  <si>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</si>
  <si>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</si>
  <si>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</si>
  <si>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</si>
  <si>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</si>
  <si>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</si>
  <si>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</si>
  <si>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</si>
  <si>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</si>
  <si>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</si>
  <si>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</si>
  <si>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</si>
  <si>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</si>
  <si>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</si>
  <si>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</si>
  <si>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</si>
  <si>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</si>
  <si>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</si>
  <si>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</si>
  <si>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</si>
  <si>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</si>
  <si>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</si>
  <si>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</si>
  <si>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</si>
  <si>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</si>
  <si>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</si>
  <si>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</si>
  <si>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</si>
  <si>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</si>
  <si>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</si>
  <si>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</si>
  <si>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</si>
  <si>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</si>
  <si>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</si>
  <si>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</si>
  <si>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</si>
  <si>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</si>
  <si>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</si>
  <si>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</si>
  <si>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</si>
  <si>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</si>
  <si>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</si>
  <si>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</si>
  <si>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</si>
  <si>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</si>
  <si>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</si>
  <si>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</si>
  <si>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</si>
  <si>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</si>
  <si>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</si>
  <si>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</si>
  <si>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</si>
  <si>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</si>
  <si>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</si>
  <si>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</si>
  <si>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</si>
  <si>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</si>
  <si>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</si>
  <si>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</si>
  <si>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</si>
  <si>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</si>
  <si>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</si>
  <si>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</si>
  <si>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</si>
  <si>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</si>
  <si>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</si>
  <si>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</si>
  <si>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</si>
  <si>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</si>
  <si>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</si>
  <si>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</si>
  <si>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</si>
  <si>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</si>
  <si>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</si>
  <si>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</si>
  <si>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</si>
  <si>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</si>
  <si>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</si>
  <si>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</si>
  <si>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</si>
  <si>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</si>
  <si>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</si>
  <si>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</si>
  <si>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</si>
  <si>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</si>
  <si>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</si>
  <si>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</si>
  <si>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</si>
  <si>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</si>
  <si>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</si>
  <si>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</si>
  <si>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</si>
  <si>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</si>
  <si>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</si>
  <si>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</si>
  <si>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</si>
  <si>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</si>
  <si>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</si>
  <si>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</si>
  <si>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</si>
  <si>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</si>
  <si>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</si>
  <si>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</si>
  <si>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</si>
  <si>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</si>
  <si>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</si>
  <si>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</si>
  <si>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</si>
  <si>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</si>
  <si>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</si>
  <si>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</si>
  <si>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</si>
  <si>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</si>
  <si>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</si>
  <si>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</si>
  <si>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</si>
  <si>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</si>
  <si>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</si>
  <si>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</si>
  <si>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</si>
  <si>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</si>
  <si>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</si>
  <si>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</si>
  <si>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</si>
  <si>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</si>
  <si>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</si>
  <si>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</si>
  <si>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</si>
  <si>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</si>
  <si>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</si>
  <si>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</si>
  <si>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</si>
  <si>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</si>
  <si>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</si>
  <si>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</si>
  <si>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</si>
  <si>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</si>
  <si>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</si>
  <si>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</si>
  <si>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</si>
  <si>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</si>
  <si>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</si>
  <si>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</si>
  <si>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</si>
  <si>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</si>
  <si>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</si>
  <si>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</si>
  <si>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</si>
  <si>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</si>
  <si>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</si>
  <si>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</si>
  <si>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</si>
  <si>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</si>
  <si>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</si>
  <si>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</si>
  <si>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</si>
  <si>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</si>
  <si>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</si>
  <si>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</si>
  <si>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</si>
  <si>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</si>
  <si>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</si>
  <si>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</si>
  <si>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</si>
  <si>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</si>
  <si>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</si>
  <si>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</si>
  <si>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</si>
  <si>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</si>
  <si>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</si>
  <si>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</si>
  <si>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</si>
  <si>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</si>
  <si>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</si>
  <si>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</si>
  <si>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</si>
  <si>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</si>
  <si>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</si>
  <si>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</si>
  <si>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</si>
  <si>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</si>
  <si>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</si>
  <si>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</si>
  <si>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</si>
  <si>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</si>
  <si>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</si>
  <si>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</si>
  <si>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</si>
  <si>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</si>
  <si>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</si>
  <si>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</si>
  <si>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</si>
  <si>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</si>
  <si>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</si>
  <si>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</si>
  <si>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</si>
  <si>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</si>
  <si>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</si>
  <si>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</si>
  <si>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</si>
  <si>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</si>
  <si>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</si>
  <si>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</si>
  <si>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</si>
  <si>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</si>
  <si>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</si>
  <si>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</si>
  <si>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</si>
  <si>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</si>
  <si>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</si>
  <si>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</si>
  <si>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</si>
  <si>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</si>
  <si>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</si>
  <si>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</si>
  <si>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</si>
  <si>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</si>
  <si>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</si>
  <si>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</si>
  <si>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</si>
  <si>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</si>
  <si>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</si>
  <si>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</si>
  <si>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</si>
  <si>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</si>
  <si>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</si>
  <si>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</si>
  <si>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</si>
  <si>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</si>
  <si>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</si>
  <si>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</si>
  <si>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</si>
  <si>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</si>
  <si>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</si>
  <si>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</si>
  <si>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</si>
  <si>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</si>
  <si>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</si>
  <si>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</si>
  <si>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</si>
  <si>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</si>
  <si>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</si>
  <si>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</si>
  <si>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</si>
  <si>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</si>
  <si>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</si>
  <si>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</si>
  <si>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</si>
  <si>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</si>
  <si>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</si>
  <si>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</si>
  <si>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</si>
  <si>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</si>
  <si>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</si>
  <si>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</si>
  <si>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</si>
  <si>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</si>
  <si>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</si>
  <si>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</si>
  <si>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</si>
  <si>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</si>
  <si>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</si>
  <si>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</si>
  <si>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</si>
  <si>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</si>
  <si>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</si>
  <si>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</si>
  <si>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</si>
  <si>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</si>
  <si>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</si>
  <si>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</si>
  <si>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</si>
  <si>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</si>
  <si>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</si>
  <si>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</si>
  <si>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</si>
  <si>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</si>
  <si>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</si>
  <si>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</si>
  <si>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</si>
  <si>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</si>
  <si>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</si>
  <si>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</si>
  <si>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</si>
  <si>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</si>
  <si>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</si>
  <si>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</si>
  <si>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</si>
  <si>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</si>
  <si>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</si>
  <si>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</si>
  <si>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</si>
  <si>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</si>
  <si>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</si>
  <si>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</si>
  <si>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</si>
  <si>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</si>
  <si>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</si>
  <si>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</si>
  <si>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</si>
  <si>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</si>
  <si>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</si>
  <si>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</si>
  <si>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</si>
  <si>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</si>
  <si>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</si>
  <si>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</si>
  <si>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</si>
  <si>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</si>
  <si>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</si>
  <si>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</si>
  <si>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</si>
  <si>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</si>
  <si>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</si>
  <si>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</si>
  <si>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</si>
  <si>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</si>
  <si>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</si>
  <si>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</si>
  <si>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</si>
  <si>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</si>
  <si>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</si>
  <si>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</si>
  <si>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</si>
  <si>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</si>
  <si>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</si>
  <si>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</si>
  <si>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</si>
  <si>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</si>
  <si>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</si>
  <si>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</si>
  <si>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</si>
  <si>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</si>
  <si>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</si>
  <si>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</si>
  <si>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</si>
  <si>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</si>
  <si>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</si>
  <si>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</si>
  <si>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</si>
  <si>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</si>
  <si>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</si>
  <si>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</si>
  <si>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</si>
  <si>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</si>
  <si>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</si>
  <si>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</si>
  <si>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</si>
  <si>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</si>
  <si>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</si>
  <si>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</si>
  <si>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</si>
  <si>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</si>
  <si>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</si>
  <si>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</si>
  <si>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</si>
  <si>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</si>
  <si>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</si>
  <si>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</si>
  <si>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</si>
  <si>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</si>
  <si>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</si>
  <si>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</si>
  <si>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</si>
  <si>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</si>
  <si>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</si>
  <si>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</si>
  <si>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</si>
  <si>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</si>
  <si>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</si>
  <si>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</si>
  <si>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</si>
  <si>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</si>
  <si>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</si>
  <si>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</si>
  <si>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</si>
  <si>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</si>
  <si>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</si>
  <si>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</si>
  <si>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</si>
  <si>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</si>
  <si>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</si>
  <si>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</si>
  <si>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</si>
  <si>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</si>
  <si>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</si>
  <si>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</si>
  <si>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</si>
  <si>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</si>
  <si>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</si>
  <si>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</si>
  <si>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</si>
  <si>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</si>
  <si>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</si>
  <si>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</si>
  <si>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</si>
  <si>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</si>
  <si>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</si>
  <si>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</si>
  <si>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</si>
  <si>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</si>
  <si>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</si>
  <si>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</si>
  <si>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</si>
  <si>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</si>
  <si>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</si>
  <si>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</si>
  <si>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</si>
  <si>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</si>
  <si>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</si>
  <si>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</si>
  <si>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</si>
  <si>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</si>
  <si>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</si>
  <si>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</si>
  <si>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</si>
  <si>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</si>
  <si>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</si>
  <si>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</si>
  <si>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</si>
  <si>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</si>
  <si>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</si>
  <si>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</si>
  <si>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</si>
  <si>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</si>
  <si>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</si>
  <si>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</si>
  <si>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</si>
  <si>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</si>
  <si>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</si>
  <si>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</si>
  <si>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</si>
  <si>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</si>
  <si>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</si>
  <si>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</si>
  <si>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</si>
  <si>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</si>
  <si>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</si>
  <si>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</si>
  <si>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</si>
  <si>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</si>
  <si>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</si>
  <si>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</si>
  <si>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</si>
  <si>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</si>
  <si>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</si>
  <si>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</si>
  <si>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</si>
  <si>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</si>
  <si>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</si>
  <si>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</si>
  <si>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</si>
  <si>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</si>
  <si>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</si>
  <si>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</si>
  <si>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</si>
  <si>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</si>
  <si>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</si>
  <si>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</si>
  <si>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</si>
  <si>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</si>
  <si>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</si>
  <si>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</si>
  <si>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</si>
  <si>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</si>
  <si>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</si>
  <si>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</si>
  <si>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</si>
  <si>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</si>
  <si>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</si>
  <si>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</si>
  <si>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</si>
  <si>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</si>
  <si>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</si>
  <si>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</si>
  <si>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</si>
  <si>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</si>
  <si>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</si>
  <si>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</si>
  <si>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</si>
  <si>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</si>
  <si>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</si>
  <si>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</si>
  <si>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</si>
  <si>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</si>
  <si>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</si>
  <si>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</si>
  <si>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</si>
  <si>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</si>
  <si>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</si>
  <si>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</si>
  <si>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</si>
  <si>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</si>
  <si>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</si>
  <si>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</si>
  <si>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</si>
  <si>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</si>
  <si>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</si>
  <si>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</si>
  <si>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</si>
  <si>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</si>
  <si>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</si>
  <si>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</si>
  <si>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</si>
  <si>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</si>
  <si>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</si>
  <si>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</si>
  <si>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</si>
  <si>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</si>
  <si>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</si>
  <si>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</si>
  <si>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</si>
  <si>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</si>
  <si>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</si>
  <si>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</si>
  <si>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</si>
  <si>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</si>
  <si>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</si>
  <si>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</si>
  <si>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</si>
  <si>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</si>
  <si>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</si>
  <si>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</si>
  <si>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</si>
  <si>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</si>
  <si>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</si>
  <si>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</si>
  <si>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</si>
  <si>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</si>
  <si>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</si>
  <si>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</si>
  <si>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</si>
  <si>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</si>
  <si>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</si>
  <si>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</si>
  <si>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</si>
  <si>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</si>
  <si>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</si>
  <si>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</si>
  <si>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</si>
  <si>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</si>
  <si>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</si>
  <si>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</si>
  <si>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</si>
  <si>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</si>
  <si>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</si>
  <si>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</si>
  <si>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</si>
  <si>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</si>
  <si>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</si>
  <si>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</si>
  <si>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</si>
  <si>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</si>
  <si>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</si>
  <si>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</si>
  <si>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</si>
  <si>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</si>
  <si>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</si>
  <si>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</si>
  <si>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</si>
  <si>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</si>
  <si>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</si>
  <si>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</si>
  <si>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</si>
  <si>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</si>
  <si>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</si>
  <si>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</si>
  <si>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</si>
  <si>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</si>
  <si>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</si>
  <si>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</si>
  <si>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</si>
  <si>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</si>
  <si>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</si>
  <si>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</si>
  <si>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</si>
  <si>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</si>
  <si>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</si>
  <si>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</si>
  <si>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</si>
  <si>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</si>
  <si>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</si>
  <si>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</si>
  <si>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</si>
  <si>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</si>
  <si>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</si>
  <si>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</si>
  <si>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</si>
  <si>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</si>
  <si>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</si>
  <si>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</si>
  <si>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</si>
  <si>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</si>
  <si>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</si>
  <si>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</si>
  <si>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</si>
  <si>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</si>
  <si>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</si>
  <si>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</si>
  <si>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</si>
  <si>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</si>
  <si>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</si>
  <si>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</si>
  <si>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</si>
  <si>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</si>
  <si>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</si>
  <si>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</si>
  <si>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</si>
  <si>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</si>
  <si>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</si>
  <si>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</si>
  <si>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</si>
  <si>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</si>
  <si>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</si>
  <si>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</si>
  <si>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</si>
  <si>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</si>
  <si>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</si>
  <si>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</si>
  <si>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</si>
  <si>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</si>
  <si>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</si>
  <si>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</si>
  <si>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</si>
  <si>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</si>
  <si>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</si>
  <si>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</si>
  <si>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</si>
  <si>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</si>
  <si>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</si>
  <si>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</si>
  <si>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</si>
  <si>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</si>
  <si>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</si>
  <si>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</si>
  <si>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</si>
  <si>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</si>
  <si>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</si>
  <si>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</si>
  <si>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</si>
  <si>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</si>
  <si>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</si>
  <si>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</si>
  <si>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</si>
  <si>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</si>
  <si>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</si>
  <si>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</si>
  <si>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</si>
  <si>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</si>
  <si>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</si>
  <si>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</si>
  <si>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</si>
  <si>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</si>
  <si>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</si>
  <si>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</si>
  <si>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</si>
  <si>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</si>
  <si>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</si>
  <si>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</si>
  <si>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</si>
  <si>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</si>
  <si>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</si>
  <si>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</si>
  <si>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</si>
  <si>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</si>
  <si>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</si>
  <si>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</si>
  <si>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</si>
  <si>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</si>
  <si>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</si>
  <si>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</si>
  <si>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</si>
  <si>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</si>
  <si>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</si>
  <si>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</si>
  <si>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</si>
  <si>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</si>
  <si>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</si>
  <si>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</si>
  <si>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</si>
  <si>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</si>
  <si>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</si>
  <si>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</si>
  <si>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</si>
  <si>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</si>
  <si>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</si>
  <si>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</si>
  <si>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</si>
  <si>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</si>
  <si>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</si>
  <si>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</si>
  <si>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</si>
  <si>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</si>
  <si>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</si>
  <si>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</si>
  <si>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</si>
  <si>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</si>
  <si>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</si>
  <si>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</si>
  <si>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</si>
  <si>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</si>
  <si>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</si>
  <si>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</si>
  <si>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</si>
  <si>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</si>
  <si>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</si>
  <si>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</si>
  <si>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</si>
  <si>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</si>
  <si>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</si>
  <si>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</si>
  <si>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</si>
  <si>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</si>
  <si>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</si>
  <si>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</si>
  <si>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</si>
  <si>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</si>
  <si>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</si>
  <si>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</si>
  <si>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</si>
  <si>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</si>
  <si>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</si>
  <si>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</si>
  <si>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</si>
  <si>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</si>
  <si>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</si>
  <si>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</si>
  <si>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</si>
  <si>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</si>
  <si>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</si>
  <si>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</si>
  <si>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</si>
  <si>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</si>
  <si>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</si>
  <si>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</si>
  <si>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</si>
  <si>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</si>
  <si>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</si>
  <si>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</si>
  <si>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</si>
  <si>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</si>
  <si>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</si>
  <si>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</si>
  <si>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</si>
  <si>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</si>
  <si>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</si>
  <si>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</si>
  <si>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</si>
  <si>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</si>
  <si>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</si>
  <si>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</si>
  <si>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</si>
  <si>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</si>
  <si>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</si>
  <si>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</si>
  <si>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</si>
  <si>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</si>
  <si>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</si>
  <si>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</si>
  <si>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</si>
  <si>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</si>
  <si>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</si>
  <si>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</si>
  <si>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</si>
  <si>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</si>
  <si>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</si>
  <si>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</si>
  <si>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</si>
  <si>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</si>
  <si>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</si>
  <si>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</si>
  <si>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</si>
  <si>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</si>
  <si>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</si>
  <si>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</si>
  <si>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</si>
  <si>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</si>
  <si>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</si>
  <si>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</si>
  <si>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</si>
  <si>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</si>
  <si>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</si>
  <si>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</si>
  <si>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</si>
  <si>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</si>
  <si>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</si>
  <si>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</si>
  <si>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</si>
  <si>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</si>
  <si>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</si>
  <si>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</si>
  <si>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</si>
  <si>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</si>
  <si>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</si>
  <si>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</si>
  <si>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</si>
  <si>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</si>
  <si>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</si>
  <si>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</si>
  <si>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</si>
  <si>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</si>
  <si>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</si>
  <si>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</si>
  <si>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</si>
  <si>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</si>
  <si>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</si>
  <si>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</si>
  <si>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</si>
  <si>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</si>
  <si>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</si>
  <si>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</si>
  <si>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</si>
  <si>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</si>
  <si>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</si>
  <si>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</si>
  <si>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</si>
  <si>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</si>
  <si>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</si>
  <si>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</si>
  <si>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</si>
  <si>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</si>
  <si>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</si>
  <si>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</si>
  <si>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</si>
  <si>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</si>
  <si>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</si>
  <si>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</si>
  <si>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</si>
  <si>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</si>
  <si>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</si>
  <si>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</si>
  <si>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</si>
  <si>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</si>
  <si>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</si>
  <si>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</si>
  <si>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</si>
  <si>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</si>
  <si>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</si>
  <si>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</si>
  <si>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</si>
  <si>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</si>
  <si>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</si>
  <si>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</si>
  <si>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</si>
  <si>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</si>
  <si>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</si>
  <si>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</si>
  <si>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</si>
  <si>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</si>
  <si>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</si>
  <si>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</si>
  <si>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</si>
  <si>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</si>
  <si>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</si>
  <si>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</si>
  <si>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</si>
  <si>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</si>
  <si>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</si>
  <si>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</si>
  <si>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</si>
  <si>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</si>
  <si>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</si>
  <si>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</si>
  <si>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</si>
  <si>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</si>
  <si>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</si>
  <si>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</si>
  <si>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</si>
  <si>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</si>
  <si>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</si>
  <si>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</si>
  <si>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</si>
  <si>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</si>
  <si>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</si>
  <si>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</si>
  <si>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</si>
  <si>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</si>
  <si>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</si>
  <si>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</si>
  <si>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</si>
  <si>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</si>
  <si>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</si>
  <si>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</si>
  <si>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</si>
  <si>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</si>
  <si>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</si>
  <si>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</si>
  <si>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</si>
  <si>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</si>
  <si>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</si>
  <si>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</si>
  <si>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</si>
  <si>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</si>
  <si>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</si>
  <si>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</si>
  <si>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</si>
  <si>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</si>
  <si>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</si>
  <si>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</si>
  <si>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</si>
  <si>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</si>
  <si>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</si>
  <si>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</si>
  <si>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</si>
  <si>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</si>
  <si>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</si>
  <si>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</si>
  <si>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</si>
  <si>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</si>
  <si>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</si>
  <si>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</si>
  <si>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</si>
  <si>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</si>
  <si>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</si>
  <si>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</si>
  <si>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</si>
  <si>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</si>
  <si>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</si>
  <si>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</si>
  <si>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</si>
  <si>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</si>
  <si>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</si>
  <si>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</si>
  <si>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</si>
  <si>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</si>
  <si>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</si>
  <si>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</si>
  <si>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</si>
  <si>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</si>
  <si>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</si>
  <si>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</si>
  <si>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</si>
  <si>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</si>
  <si>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</si>
  <si>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</si>
  <si>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</si>
  <si>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</si>
  <si>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</si>
  <si>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</si>
  <si>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</si>
  <si>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</si>
  <si>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</si>
  <si>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</si>
  <si>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</si>
  <si>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</si>
  <si>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</si>
  <si>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</si>
  <si>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</si>
  <si>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</si>
  <si>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</si>
  <si>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</si>
  <si>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</si>
  <si>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</si>
  <si>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</si>
  <si>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</si>
  <si>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</si>
  <si>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</si>
  <si>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</si>
  <si>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</si>
  <si>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</si>
  <si>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</si>
  <si>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</si>
  <si>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</si>
  <si>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</si>
  <si>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</si>
  <si>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</si>
  <si>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</si>
  <si>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</si>
  <si>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</si>
  <si>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</si>
  <si>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</si>
  <si>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</si>
  <si>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</si>
  <si>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</si>
  <si>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</si>
  <si>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</si>
  <si>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</si>
  <si>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</si>
  <si>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</si>
  <si>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</si>
  <si>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</si>
  <si>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</si>
  <si>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</si>
  <si>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</si>
  <si>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</si>
  <si>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</si>
  <si>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</si>
  <si>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</si>
  <si>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</si>
  <si>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</si>
  <si>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</si>
  <si>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</si>
  <si>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</si>
  <si>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</si>
  <si>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</si>
  <si>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</si>
  <si>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</si>
  <si>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</si>
  <si>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</si>
  <si>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</si>
  <si>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</si>
  <si>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</si>
  <si>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</si>
  <si>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</si>
  <si>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</si>
  <si>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</si>
  <si>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</si>
  <si>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</si>
  <si>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</si>
  <si>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</si>
  <si>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</si>
  <si>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</si>
  <si>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</si>
  <si>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</si>
  <si>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</si>
  <si>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</si>
  <si>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</si>
  <si>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</si>
  <si>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</si>
  <si>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</si>
  <si>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</si>
  <si>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</si>
  <si>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</si>
  <si>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</si>
  <si>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</si>
  <si>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</si>
  <si>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</si>
  <si>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</si>
  <si>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</si>
  <si>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</si>
  <si>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</si>
  <si>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</si>
  <si>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</si>
  <si>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</si>
  <si>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</si>
  <si>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</si>
  <si>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</si>
  <si>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</si>
  <si>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</si>
  <si>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</si>
  <si>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</si>
  <si>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</si>
  <si>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</si>
  <si>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</si>
  <si>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</si>
  <si>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</si>
  <si>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</si>
  <si>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</si>
  <si>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</si>
  <si>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</si>
  <si>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</si>
  <si>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</si>
  <si>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</si>
  <si>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</si>
  <si>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</si>
  <si>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</si>
  <si>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</si>
  <si>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</si>
  <si>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</si>
  <si>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</si>
  <si>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</si>
  <si>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</si>
  <si>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</si>
  <si>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</si>
  <si>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</si>
  <si>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</si>
  <si>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</si>
  <si>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</si>
  <si>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</si>
  <si>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</si>
  <si>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</si>
  <si>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</si>
  <si>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</si>
  <si>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</si>
  <si>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</si>
  <si>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</si>
  <si>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</si>
  <si>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</si>
  <si>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</si>
  <si>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</si>
  <si>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</si>
  <si>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</si>
  <si>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</si>
  <si>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</si>
  <si>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</si>
  <si>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</si>
  <si>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</si>
  <si>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</si>
  <si>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</si>
  <si>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</si>
  <si>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</si>
  <si>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</si>
  <si>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</si>
  <si>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</si>
  <si>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</si>
  <si>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</si>
  <si>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</si>
  <si>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</si>
  <si>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</si>
  <si>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</si>
  <si>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</si>
  <si>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</si>
  <si>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</si>
  <si>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</si>
  <si>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</si>
  <si>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</si>
  <si>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</si>
  <si>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</si>
  <si>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</si>
  <si>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</si>
  <si>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</si>
  <si>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</si>
  <si>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</si>
  <si>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</si>
  <si>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</si>
  <si>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</si>
  <si>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</si>
  <si>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</si>
  <si>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</si>
  <si>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</si>
  <si>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</si>
  <si>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</si>
  <si>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</si>
  <si>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</si>
  <si>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</si>
  <si>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</si>
  <si>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</si>
  <si>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</si>
  <si>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</si>
  <si>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</si>
  <si>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</si>
  <si>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</si>
  <si>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</si>
  <si>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</si>
  <si>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</si>
  <si>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</si>
  <si>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</si>
  <si>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</si>
  <si>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</si>
  <si>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</si>
  <si>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</si>
  <si>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</si>
  <si>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</si>
  <si>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</si>
  <si>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</si>
  <si>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</si>
  <si>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</si>
  <si>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</si>
  <si>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</si>
  <si>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</si>
  <si>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</si>
  <si>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</si>
  <si>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</si>
  <si>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</si>
  <si>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</si>
  <si>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</si>
  <si>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</si>
  <si>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</si>
  <si>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</si>
  <si>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</si>
  <si>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</si>
  <si>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</si>
  <si>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</si>
  <si>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</si>
  <si>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</si>
  <si>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</si>
  <si>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</si>
  <si>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</si>
  <si>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</si>
  <si>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</si>
  <si>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</si>
  <si>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</si>
  <si>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</si>
  <si>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</si>
  <si>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</si>
  <si>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</si>
  <si>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</si>
  <si>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</si>
  <si>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</si>
  <si>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</si>
  <si>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</si>
  <si>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</si>
  <si>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</si>
  <si>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</si>
  <si>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</si>
  <si>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</si>
  <si>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</si>
  <si>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</si>
  <si>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</si>
  <si>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</si>
  <si>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</si>
  <si>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</si>
  <si>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</si>
  <si>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</si>
  <si>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</si>
  <si>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</si>
  <si>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</si>
  <si>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</si>
  <si>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</si>
  <si>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</si>
  <si>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</si>
  <si>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</si>
  <si>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</si>
  <si>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</si>
  <si>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</si>
  <si>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</si>
  <si>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</si>
  <si>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</si>
  <si>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</si>
  <si>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</si>
  <si>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</si>
  <si>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</si>
  <si>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</si>
  <si>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</si>
  <si>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</si>
  <si>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</si>
  <si>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</si>
  <si>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</si>
  <si>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</si>
  <si>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</si>
  <si>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</si>
  <si>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</si>
  <si>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</si>
  <si>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</si>
  <si>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</si>
  <si>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</si>
  <si>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</si>
  <si>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</si>
  <si>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</si>
  <si>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</si>
  <si>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</si>
  <si>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</si>
  <si>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</si>
  <si>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</si>
  <si>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</si>
  <si>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</si>
  <si>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</si>
  <si>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</si>
  <si>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</si>
  <si>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</si>
  <si>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</si>
  <si>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</si>
  <si>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</si>
  <si>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</si>
  <si>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</si>
  <si>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</si>
  <si>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</si>
  <si>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</si>
  <si>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</si>
  <si>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</si>
  <si>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</si>
  <si>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</si>
  <si>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</si>
  <si>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</si>
  <si>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</si>
  <si>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</si>
  <si>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</si>
  <si>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</si>
  <si>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</si>
  <si>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</si>
  <si>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</si>
  <si>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</si>
  <si>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</si>
  <si>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</si>
  <si>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</si>
  <si>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</si>
  <si>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</si>
  <si>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</si>
  <si>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</si>
  <si>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</si>
  <si>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</si>
  <si>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</si>
  <si>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</si>
  <si>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</si>
  <si>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</si>
  <si>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</si>
  <si>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</si>
  <si>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</si>
  <si>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</si>
  <si>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</si>
  <si>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</si>
  <si>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</si>
  <si>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</si>
  <si>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</si>
  <si>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</si>
  <si>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</si>
  <si>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</si>
  <si>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</si>
  <si>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</si>
  <si>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</si>
  <si>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</si>
  <si>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</si>
  <si>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</si>
  <si>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</si>
  <si>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</si>
  <si>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</si>
  <si>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</si>
  <si>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</si>
  <si>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</si>
  <si>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</si>
  <si>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</si>
  <si>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</si>
  <si>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</si>
  <si>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</si>
  <si>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</si>
  <si>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</si>
  <si>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</si>
  <si>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</si>
  <si>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</si>
  <si>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</si>
  <si>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</si>
  <si>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</si>
  <si>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</si>
  <si>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</si>
  <si>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</si>
  <si>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</si>
  <si>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</si>
  <si>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</si>
  <si>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</si>
  <si>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</si>
  <si>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</si>
  <si>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</si>
  <si>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</si>
  <si>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</si>
  <si>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</si>
  <si>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</si>
  <si>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</si>
  <si>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</si>
  <si>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</si>
  <si>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</si>
  <si>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</si>
  <si>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</si>
  <si>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</si>
  <si>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</si>
  <si>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</si>
  <si>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</si>
  <si>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</si>
  <si>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</si>
  <si>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</si>
  <si>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</si>
  <si>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</si>
  <si>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</si>
  <si>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</si>
  <si>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</si>
  <si>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</si>
  <si>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</si>
  <si>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</si>
  <si>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</si>
  <si>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</si>
  <si>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</si>
  <si>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</si>
  <si>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</si>
  <si>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</si>
  <si>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</si>
  <si>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</si>
  <si>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</si>
  <si>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</si>
  <si>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</si>
  <si>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</si>
  <si>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</si>
  <si>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</si>
  <si>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</si>
  <si>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</si>
  <si>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</si>
  <si>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</si>
  <si>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</si>
  <si>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</si>
  <si>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</si>
  <si>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</si>
  <si>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</si>
  <si>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</si>
  <si>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</si>
  <si>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</si>
  <si>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</si>
  <si>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</si>
  <si>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</si>
  <si>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</si>
  <si>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</si>
  <si>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</si>
  <si>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</si>
  <si>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</si>
  <si>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</si>
  <si>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</si>
  <si>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</si>
  <si>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</si>
  <si>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</si>
  <si>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</si>
  <si>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</si>
  <si>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</si>
  <si>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</si>
  <si>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</si>
  <si>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</si>
  <si>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</si>
  <si>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</si>
  <si>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</si>
  <si>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</si>
  <si>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</si>
  <si>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</si>
  <si>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</si>
  <si>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</si>
  <si>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</si>
  <si>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</si>
  <si>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</si>
  <si>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</si>
  <si>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</si>
  <si>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</si>
  <si>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</si>
  <si>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</si>
  <si>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</si>
  <si>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</si>
  <si>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</si>
  <si>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</si>
  <si>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</si>
  <si>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</si>
  <si>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</si>
  <si>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</si>
  <si>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</si>
  <si>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</si>
  <si>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</si>
  <si>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</si>
  <si>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</si>
  <si>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</si>
  <si>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</si>
  <si>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</si>
  <si>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</si>
  <si>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</si>
  <si>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</si>
  <si>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</si>
  <si>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</si>
  <si>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</si>
  <si>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</si>
  <si>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</si>
  <si>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</si>
  <si>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</si>
  <si>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</si>
  <si>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</si>
  <si>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</si>
  <si>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</si>
  <si>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</si>
  <si>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</si>
  <si>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</si>
  <si>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</si>
  <si>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</si>
  <si>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</si>
  <si>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</si>
  <si>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</si>
  <si>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</si>
  <si>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</si>
  <si>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</si>
  <si>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</si>
  <si>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</si>
  <si>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</si>
  <si>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</si>
  <si>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</si>
  <si>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</si>
  <si>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</si>
  <si>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</si>
  <si>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</si>
  <si>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</si>
  <si>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</si>
  <si>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</si>
  <si>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</si>
  <si>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</si>
  <si>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</si>
  <si>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</si>
  <si>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</si>
  <si>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</si>
  <si>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</si>
  <si>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</si>
  <si>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</si>
  <si>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</si>
  <si>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</si>
  <si>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</si>
  <si>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</si>
  <si>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</si>
  <si>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</si>
  <si>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</si>
  <si>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</si>
  <si>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</si>
  <si>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</si>
  <si>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</si>
  <si>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</si>
  <si>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</si>
  <si>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</si>
  <si>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</si>
  <si>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</si>
  <si>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</si>
  <si>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</si>
  <si>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</si>
  <si>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</si>
  <si>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</si>
  <si>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</si>
  <si>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</si>
  <si>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</si>
  <si>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</si>
  <si>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</si>
  <si>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</si>
  <si>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</si>
  <si>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</si>
  <si>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</si>
  <si>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</si>
  <si>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</si>
  <si>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</si>
  <si>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</si>
  <si>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</si>
  <si>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</si>
  <si>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</si>
  <si>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</si>
  <si>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</si>
  <si>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</si>
  <si>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</si>
  <si>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</si>
  <si>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</si>
  <si>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</si>
  <si>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</si>
  <si>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</si>
  <si>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</si>
  <si>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</si>
  <si>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</si>
  <si>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</si>
  <si>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</si>
  <si>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</si>
  <si>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</si>
  <si>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</si>
  <si>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</si>
  <si>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</si>
  <si>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</si>
  <si>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</si>
  <si>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</si>
  <si>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</si>
  <si>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</si>
  <si>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</si>
  <si>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</si>
  <si>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</si>
  <si>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</si>
  <si>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</si>
  <si>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</si>
  <si>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</si>
  <si>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</si>
  <si>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</si>
  <si>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</si>
  <si>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</si>
  <si>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</si>
  <si>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</si>
  <si>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</si>
  <si>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</si>
  <si>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</si>
  <si>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</si>
  <si>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</si>
  <si>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</si>
  <si>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</si>
  <si>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</si>
  <si>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</si>
  <si>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</si>
  <si>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</si>
  <si>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</si>
  <si>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</si>
  <si>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</si>
  <si>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</si>
  <si>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</si>
  <si>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</si>
  <si>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</si>
  <si>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</si>
  <si>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</si>
  <si>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</si>
  <si>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</si>
  <si>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</si>
  <si>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</si>
  <si>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</si>
  <si>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</si>
  <si>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</si>
  <si>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</si>
  <si>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</si>
  <si>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</si>
  <si>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</si>
  <si>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</si>
  <si>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</si>
  <si>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</si>
  <si>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</si>
  <si>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</si>
  <si>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</si>
  <si>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</si>
  <si>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</si>
  <si>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</si>
  <si>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</si>
  <si>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</si>
  <si>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</si>
  <si>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</si>
  <si>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</si>
  <si>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</si>
  <si>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</si>
  <si>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</si>
  <si>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</si>
  <si>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</si>
  <si>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</si>
  <si>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</si>
  <si>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</si>
  <si>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</si>
  <si>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</si>
  <si>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</si>
  <si>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</si>
  <si>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</si>
  <si>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</si>
  <si>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</si>
  <si>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</si>
  <si>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</si>
  <si>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</si>
  <si>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</si>
  <si>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</si>
  <si>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</si>
  <si>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</si>
  <si>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</si>
  <si>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</si>
  <si>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</si>
  <si>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</si>
  <si>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</si>
  <si>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</si>
  <si>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</si>
  <si>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</si>
  <si>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</si>
  <si>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</si>
  <si>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</si>
  <si>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</si>
  <si>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</si>
  <si>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</si>
  <si>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</si>
  <si>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</si>
  <si>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</si>
  <si>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</si>
  <si>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</si>
  <si>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</si>
  <si>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</si>
  <si>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</si>
  <si>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</si>
  <si>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</si>
  <si>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</si>
  <si>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</si>
  <si>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</si>
  <si>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</si>
  <si>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</si>
  <si>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</si>
  <si>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</si>
  <si>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</si>
  <si>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</si>
  <si>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</si>
  <si>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</si>
  <si>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</si>
  <si>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</si>
  <si>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</si>
  <si>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</si>
  <si>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</si>
  <si>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</si>
  <si>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</si>
  <si>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</si>
  <si>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</si>
  <si>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</si>
  <si>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</si>
  <si>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</si>
  <si>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</si>
  <si>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</si>
  <si>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</si>
  <si>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</si>
  <si>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</si>
  <si>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</si>
  <si>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</si>
  <si>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</si>
  <si>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</si>
  <si>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</si>
  <si>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</si>
  <si>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</si>
  <si>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</si>
  <si>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</si>
  <si>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</si>
  <si>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</si>
  <si>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</si>
  <si>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</si>
  <si>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</si>
  <si>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</si>
  <si>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</si>
  <si>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</si>
  <si>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</si>
  <si>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</si>
  <si>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</si>
  <si>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</si>
  <si>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</si>
  <si>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</si>
  <si>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</si>
  <si>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</si>
  <si>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</si>
  <si>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</si>
  <si>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</si>
  <si>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</si>
  <si>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</si>
  <si>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</si>
  <si>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</si>
  <si>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</si>
  <si>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</si>
  <si>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</si>
  <si>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</si>
  <si>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</si>
  <si>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</si>
  <si>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</si>
  <si>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</si>
  <si>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</si>
  <si>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</si>
  <si>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</si>
  <si>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</si>
  <si>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</si>
  <si>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</si>
  <si>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</si>
  <si>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</si>
  <si>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</si>
  <si>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</si>
  <si>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</si>
  <si>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</si>
  <si>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</si>
  <si>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</si>
  <si>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</si>
  <si>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</si>
  <si>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</si>
  <si>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</si>
  <si>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</si>
  <si>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</si>
  <si>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</si>
  <si>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</si>
  <si>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</si>
  <si>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</si>
  <si>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</si>
  <si>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</si>
  <si>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</si>
  <si>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</si>
  <si>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</si>
  <si>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</si>
  <si>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</si>
  <si>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</si>
  <si>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</si>
  <si>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</si>
  <si>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</si>
  <si>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</si>
  <si>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</si>
  <si>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</si>
  <si>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</si>
  <si>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</si>
  <si>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</si>
  <si>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</si>
  <si>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</si>
  <si>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</si>
  <si>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</si>
  <si>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</si>
  <si>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</si>
  <si>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</si>
  <si>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</si>
  <si>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</si>
  <si>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</si>
  <si>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</si>
  <si>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</si>
  <si>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</si>
  <si>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</si>
  <si>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</si>
  <si>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</si>
  <si>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</si>
  <si>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</si>
  <si>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</si>
  <si>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</si>
  <si>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</si>
  <si>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</si>
  <si>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</si>
  <si>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</si>
  <si>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</si>
  <si>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</si>
  <si>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</si>
  <si>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</si>
  <si>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</si>
  <si>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</si>
  <si>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</si>
  <si>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</si>
  <si>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</si>
  <si>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</si>
  <si>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</si>
  <si>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</si>
  <si>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</si>
  <si>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</si>
  <si>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</si>
  <si>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</si>
  <si>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</si>
  <si>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</si>
  <si>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</si>
  <si>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</si>
  <si>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</si>
  <si>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</si>
  <si>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</si>
  <si>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</si>
  <si>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</si>
  <si>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</si>
  <si>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</si>
  <si>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</si>
  <si>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</si>
  <si>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</si>
  <si>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</si>
  <si>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</si>
  <si>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</si>
  <si>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</si>
  <si>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</si>
  <si>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</si>
  <si>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</si>
  <si>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</si>
  <si>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</si>
  <si>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</si>
  <si>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</si>
  <si>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</si>
  <si>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</si>
  <si>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</si>
  <si>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</si>
  <si>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</si>
  <si>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</si>
  <si>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</si>
  <si>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</si>
  <si>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</si>
  <si>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</si>
  <si>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</si>
  <si>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</si>
  <si>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</si>
  <si>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</si>
  <si>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</si>
  <si>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</si>
  <si>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</si>
  <si>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</si>
  <si>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</si>
  <si>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</si>
  <si>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</si>
  <si>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</si>
  <si>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</si>
  <si>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</si>
  <si>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</si>
  <si>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</si>
  <si>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</si>
  <si>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</si>
  <si>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</si>
  <si>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</si>
  <si>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</si>
  <si>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</si>
  <si>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</si>
  <si>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</si>
  <si>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</si>
  <si>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</si>
  <si>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</si>
  <si>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</si>
  <si>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</si>
  <si>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</si>
  <si>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</si>
  <si>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</si>
  <si>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</si>
  <si>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</si>
  <si>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</si>
  <si>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</si>
  <si>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</si>
  <si>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</si>
  <si>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</si>
  <si>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</si>
  <si>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</si>
  <si>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</si>
  <si>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</si>
  <si>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</si>
  <si>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</si>
  <si>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</si>
  <si>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</si>
  <si>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</si>
  <si>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</si>
  <si>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</si>
  <si>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</si>
  <si>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</si>
  <si>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</si>
  <si>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</si>
  <si>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</si>
  <si>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</si>
  <si>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</si>
  <si>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</si>
  <si>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</si>
  <si>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</si>
  <si>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</si>
  <si>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</si>
  <si>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</si>
  <si>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</si>
  <si>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</si>
  <si>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</si>
  <si>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</si>
  <si>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</si>
  <si>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</si>
  <si>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</si>
  <si>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</si>
  <si>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</si>
  <si>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</si>
  <si>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</si>
  <si>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</si>
  <si>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</si>
  <si>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</si>
  <si>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</si>
  <si>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</si>
  <si>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</si>
  <si>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</si>
  <si>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</si>
  <si>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</si>
  <si>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</si>
  <si>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</si>
  <si>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</si>
  <si>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</si>
  <si>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</si>
  <si>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</si>
  <si>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</si>
  <si>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</si>
  <si>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</si>
  <si>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</si>
  <si>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</si>
  <si>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</si>
  <si>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</si>
  <si>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</si>
  <si>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</si>
  <si>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</si>
  <si>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</si>
  <si>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</si>
  <si>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</si>
  <si>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</si>
  <si>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</si>
  <si>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</si>
  <si>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</si>
  <si>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</si>
  <si>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</si>
  <si>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</si>
  <si>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</si>
  <si>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</si>
  <si>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</si>
  <si>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</si>
  <si>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</si>
  <si>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</si>
  <si>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</si>
  <si>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</si>
  <si>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</si>
  <si>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</si>
  <si>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</si>
  <si>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</si>
  <si>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</si>
  <si>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</si>
  <si>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</si>
  <si>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</si>
  <si>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</si>
  <si>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</si>
  <si>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</si>
  <si>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</si>
  <si>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</si>
  <si>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</si>
  <si>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</si>
  <si>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</si>
  <si>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</si>
  <si>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</si>
  <si>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</si>
  <si>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</si>
  <si>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</si>
  <si>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</si>
  <si>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</si>
  <si>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</si>
  <si>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</si>
  <si>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</si>
  <si>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</si>
  <si>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</si>
  <si>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</si>
  <si>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</si>
  <si>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</si>
  <si>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</si>
  <si>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</si>
  <si>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</si>
  <si>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</si>
  <si>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</si>
  <si>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</si>
  <si>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</si>
  <si>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</si>
  <si>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</si>
  <si>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</si>
  <si>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</si>
  <si>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</si>
  <si>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</si>
  <si>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</si>
  <si>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</si>
  <si>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</si>
  <si>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</si>
  <si>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</si>
  <si>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</si>
  <si>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</si>
  <si>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</si>
  <si>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</si>
  <si>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</si>
  <si>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</si>
  <si>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</si>
  <si>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</si>
  <si>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</si>
  <si>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</si>
  <si>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</si>
  <si>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</si>
  <si>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</si>
  <si>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</si>
  <si>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</si>
  <si>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</si>
  <si>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</si>
  <si>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</si>
  <si>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</si>
  <si>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</si>
  <si>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</si>
  <si>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</si>
  <si>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</si>
  <si>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</si>
  <si>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</si>
  <si>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</si>
  <si>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</si>
  <si>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</si>
  <si>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</si>
  <si>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</si>
  <si>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</si>
  <si>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</si>
  <si>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</si>
  <si>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</si>
  <si>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</si>
  <si>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</si>
  <si>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</si>
  <si>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</si>
  <si>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</si>
  <si>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</si>
  <si>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</si>
  <si>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</si>
  <si>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</si>
  <si>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</si>
  <si>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</si>
  <si>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</si>
  <si>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</si>
  <si>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</si>
  <si>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</si>
  <si>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</si>
  <si>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</si>
  <si>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</si>
  <si>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</si>
  <si>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</si>
  <si>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</si>
  <si>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</si>
  <si>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</si>
  <si>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</si>
  <si>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</si>
  <si>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</si>
  <si>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</si>
  <si>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</si>
  <si>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</si>
  <si>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</si>
  <si>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</si>
  <si>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</si>
  <si>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</si>
  <si>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</si>
  <si>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</si>
  <si>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</si>
  <si>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</si>
  <si>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</si>
  <si>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</si>
  <si>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</si>
  <si>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</si>
  <si>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</si>
  <si>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</si>
  <si>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</si>
  <si>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</si>
  <si>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</si>
  <si>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</si>
  <si>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</si>
  <si>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</si>
  <si>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</si>
  <si>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</si>
  <si>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</si>
  <si>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</si>
  <si>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</si>
  <si>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</si>
  <si>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</si>
  <si>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</si>
  <si>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</si>
  <si>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</si>
  <si>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</si>
  <si>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</si>
  <si>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</si>
  <si>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</si>
  <si>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</si>
  <si>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</si>
  <si>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</si>
  <si>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</si>
  <si>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</si>
  <si>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</si>
  <si>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</si>
  <si>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</si>
  <si>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</si>
  <si>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</si>
  <si>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</si>
  <si>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</si>
  <si>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</si>
  <si>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</si>
  <si>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</si>
  <si>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</si>
  <si>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</si>
  <si>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</si>
  <si>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</si>
  <si>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</si>
  <si>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</si>
  <si>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</si>
  <si>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</si>
  <si>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</si>
  <si>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</si>
  <si>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</si>
  <si>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</si>
  <si>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</si>
  <si>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</si>
  <si>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</si>
  <si>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</si>
  <si>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</si>
  <si>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</si>
  <si>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</si>
  <si>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</si>
  <si>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</si>
  <si>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</si>
  <si>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</si>
  <si>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</si>
  <si>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</si>
  <si>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</si>
  <si>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</si>
  <si>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</si>
  <si>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</si>
  <si>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</si>
  <si>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</si>
  <si>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</si>
  <si>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</si>
  <si>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</si>
  <si>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</si>
  <si>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</si>
  <si>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</si>
  <si>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</si>
  <si>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</si>
  <si>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</si>
  <si>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</si>
  <si>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</si>
  <si>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</si>
  <si>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</si>
  <si>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</si>
  <si>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</si>
  <si>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</si>
  <si>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</si>
  <si>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</si>
  <si>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</si>
  <si>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</si>
  <si>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</si>
  <si>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</si>
  <si>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</si>
  <si>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</si>
  <si>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</si>
  <si>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</si>
  <si>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</si>
  <si>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</si>
  <si>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</si>
  <si>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</si>
  <si>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</si>
  <si>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</si>
  <si>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</si>
  <si>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</si>
  <si>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</si>
  <si>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</si>
  <si>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</si>
  <si>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</si>
  <si>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</si>
  <si>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</si>
  <si>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</si>
  <si>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</si>
  <si>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</si>
  <si>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</si>
  <si>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</si>
  <si>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</si>
  <si>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</si>
  <si>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</si>
  <si>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</si>
  <si>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</si>
  <si>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</si>
  <si>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</si>
  <si>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</si>
  <si>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</si>
  <si>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</si>
  <si>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</si>
  <si>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</si>
  <si>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</si>
  <si>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</si>
  <si>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</si>
  <si>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</si>
  <si>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</si>
  <si>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</si>
  <si>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</si>
  <si>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</si>
  <si>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</si>
  <si>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</si>
  <si>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</si>
  <si>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</si>
  <si>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</si>
  <si>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</si>
  <si>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</si>
  <si>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</si>
  <si>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</si>
  <si>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</si>
  <si>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</si>
  <si>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</si>
  <si>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</si>
  <si>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</si>
  <si>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</si>
  <si>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</si>
  <si>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</si>
  <si>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</si>
  <si>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</si>
  <si>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</si>
  <si>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</si>
  <si>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</si>
  <si>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</si>
  <si>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</si>
  <si>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</si>
  <si>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</si>
  <si>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</si>
  <si>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</si>
  <si>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</si>
  <si>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</si>
  <si>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</si>
  <si>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</si>
  <si>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</si>
  <si>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</si>
  <si>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</si>
  <si>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</si>
  <si>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</si>
  <si>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</si>
  <si>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</si>
  <si>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</si>
  <si>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</si>
  <si>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</si>
  <si>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</si>
  <si>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</si>
  <si>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</si>
  <si>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</si>
  <si>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</si>
  <si>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</si>
  <si>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</si>
  <si>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</si>
  <si>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</si>
  <si>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</si>
  <si>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</si>
  <si>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</si>
  <si>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</si>
  <si>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</si>
  <si>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</si>
  <si>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</si>
  <si>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</si>
  <si>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</si>
  <si>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</si>
  <si>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</si>
  <si>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</si>
  <si>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</si>
  <si>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</si>
  <si>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</si>
  <si>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</si>
  <si>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</si>
  <si>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</si>
  <si>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</si>
  <si>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</si>
  <si>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</si>
  <si>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</si>
  <si>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</si>
  <si>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</si>
  <si>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</si>
  <si>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</si>
  <si>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</si>
  <si>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</si>
  <si>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</si>
  <si>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</si>
  <si>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</si>
  <si>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</si>
  <si>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</si>
  <si>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</si>
  <si>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</si>
  <si>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</si>
  <si>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</si>
  <si>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</si>
  <si>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</si>
  <si>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</si>
  <si>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</si>
  <si>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</si>
  <si>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</si>
  <si>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</si>
  <si>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</si>
  <si>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</si>
  <si>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</si>
  <si>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</si>
  <si>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</si>
  <si>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</si>
  <si>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</si>
  <si>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</si>
  <si>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</si>
  <si>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</si>
  <si>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</si>
  <si>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</si>
  <si>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</si>
  <si>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</si>
  <si>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</si>
  <si>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</si>
  <si>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</si>
  <si>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</si>
  <si>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</si>
  <si>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</si>
  <si>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</si>
  <si>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</si>
  <si>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</si>
  <si>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</si>
  <si>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</si>
  <si>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</si>
  <si>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</si>
  <si>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</si>
  <si>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</si>
  <si>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</si>
  <si>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</si>
  <si>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</si>
  <si>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</si>
  <si>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</si>
  <si>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</si>
  <si>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</si>
  <si>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</si>
  <si>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</si>
  <si>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</si>
  <si>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</si>
  <si>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</si>
  <si>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</si>
  <si>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</si>
  <si>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</si>
  <si>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</si>
  <si>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</si>
  <si>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</si>
  <si>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</si>
  <si>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</si>
  <si>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</si>
  <si>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</si>
  <si>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</si>
  <si>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</si>
  <si>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</si>
  <si>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</si>
  <si>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</si>
  <si>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</si>
  <si>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</si>
  <si>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</si>
  <si>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</si>
  <si>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</si>
  <si>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</si>
  <si>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</si>
  <si>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</si>
  <si>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</si>
  <si>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</si>
  <si>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</si>
  <si>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</si>
  <si>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</si>
  <si>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</si>
  <si>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</si>
  <si>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</si>
  <si>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</si>
  <si>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</si>
  <si>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</si>
  <si>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</si>
  <si>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</si>
  <si>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</si>
  <si>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</si>
  <si>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</si>
  <si>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</si>
  <si>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</si>
  <si>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</si>
  <si>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</si>
  <si>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</si>
  <si>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</si>
  <si>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</si>
  <si>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</si>
  <si>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</si>
  <si>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</si>
  <si>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</si>
  <si>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</si>
  <si>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</si>
  <si>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</si>
  <si>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</si>
  <si>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</si>
  <si>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</si>
  <si>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</si>
  <si>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</si>
  <si>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</si>
  <si>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</si>
  <si>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</si>
  <si>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</si>
  <si>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</si>
  <si>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</si>
  <si>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</si>
  <si>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</si>
  <si>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</si>
  <si>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</si>
  <si>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</si>
  <si>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</si>
  <si>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</si>
  <si>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</si>
  <si>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</si>
  <si>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</si>
  <si>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</si>
  <si>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</si>
  <si>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</si>
  <si>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</si>
  <si>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</si>
  <si>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</si>
  <si>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</si>
  <si>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</si>
  <si>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</si>
  <si>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</si>
  <si>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</si>
  <si>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</si>
  <si>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</si>
  <si>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</si>
  <si>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</si>
  <si>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</si>
  <si>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</si>
  <si>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</si>
  <si>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</si>
  <si>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</si>
  <si>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</si>
  <si>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</si>
  <si>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</si>
  <si>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</si>
  <si>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</si>
  <si>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</si>
  <si>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</si>
  <si>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</si>
  <si>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</si>
  <si>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</si>
  <si>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</si>
  <si>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</si>
  <si>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</si>
  <si>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</si>
  <si>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</si>
  <si>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</si>
  <si>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</si>
  <si>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</si>
  <si>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</si>
  <si>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</si>
  <si>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</si>
  <si>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</si>
  <si>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</si>
  <si>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</si>
  <si>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</si>
  <si>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</si>
  <si>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</si>
  <si>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</si>
  <si>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</si>
  <si>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</si>
  <si>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</si>
  <si>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</si>
  <si>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</si>
  <si>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</si>
  <si>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</si>
  <si>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</si>
  <si>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</si>
  <si>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</si>
  <si>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</si>
  <si>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</si>
  <si>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</si>
  <si>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</si>
  <si>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</si>
  <si>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</si>
  <si>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</si>
  <si>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</si>
  <si>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</si>
  <si>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</si>
  <si>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</si>
  <si>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</si>
  <si>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</si>
  <si>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</si>
  <si>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</si>
  <si>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</si>
  <si>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</si>
  <si>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</si>
  <si>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</si>
  <si>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</si>
  <si>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</si>
  <si>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</si>
  <si>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</si>
  <si>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</si>
  <si>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</si>
  <si>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</si>
  <si>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</si>
  <si>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</si>
  <si>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</si>
  <si>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</si>
  <si>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</si>
  <si>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</si>
  <si>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</si>
  <si>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</si>
  <si>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</si>
  <si>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</si>
  <si>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</si>
  <si>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</si>
  <si>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</si>
  <si>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</si>
  <si>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</si>
  <si>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</si>
  <si>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</si>
  <si>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</si>
  <si>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</si>
  <si>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</si>
  <si>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</si>
  <si>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</si>
  <si>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</si>
  <si>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</si>
  <si>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</si>
  <si>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</si>
  <si>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</si>
  <si>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</si>
  <si>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</si>
  <si>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</si>
  <si>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</si>
  <si>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</si>
  <si>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</si>
  <si>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</si>
  <si>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</si>
  <si>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</si>
  <si>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</si>
  <si>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</si>
  <si>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</si>
  <si>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</si>
  <si>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</si>
  <si>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</si>
  <si>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</si>
  <si>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</si>
  <si>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</si>
  <si>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</si>
  <si>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</si>
  <si>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</si>
  <si>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</si>
  <si>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</si>
  <si>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</si>
  <si>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</si>
  <si>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</si>
  <si>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</si>
  <si>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</si>
  <si>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</si>
  <si>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</si>
  <si>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</si>
  <si>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</si>
  <si>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</si>
  <si>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</si>
  <si>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</si>
  <si>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</si>
  <si>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</si>
  <si>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</si>
  <si>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</si>
  <si>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</si>
  <si>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</si>
  <si>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</si>
  <si>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</si>
  <si>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</si>
  <si>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</si>
  <si>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</si>
  <si>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</si>
  <si>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</si>
  <si>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</si>
  <si>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</si>
  <si>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</si>
  <si>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</si>
  <si>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</si>
  <si>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</si>
  <si>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</si>
  <si>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</si>
  <si>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</si>
  <si>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</si>
  <si>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</si>
  <si>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</si>
  <si>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</si>
  <si>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</si>
  <si>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</si>
  <si>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</si>
  <si>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</si>
  <si>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</si>
  <si>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</si>
  <si>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</si>
  <si>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</si>
  <si>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</si>
  <si>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</si>
  <si>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</si>
  <si>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</si>
  <si>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</si>
  <si>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</si>
  <si>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</si>
  <si>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</si>
  <si>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</si>
  <si>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</si>
  <si>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</si>
  <si>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</si>
  <si>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</si>
  <si>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</si>
  <si>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</si>
  <si>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</si>
  <si>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</si>
  <si>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</si>
  <si>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</si>
  <si>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</si>
  <si>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</si>
  <si>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</si>
  <si>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</si>
  <si>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</si>
  <si>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</si>
  <si>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</si>
  <si>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</si>
  <si>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</si>
  <si>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</si>
  <si>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</si>
  <si>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</si>
  <si>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</si>
  <si>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</si>
  <si>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</si>
  <si>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</si>
  <si>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</si>
  <si>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</si>
  <si>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</si>
  <si>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</si>
  <si>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</si>
  <si>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</si>
  <si>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</si>
  <si>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</si>
  <si>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</si>
  <si>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</si>
  <si>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</si>
  <si>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</si>
  <si>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</si>
  <si>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</si>
  <si>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</si>
  <si>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</si>
  <si>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</si>
  <si>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</si>
  <si>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</si>
  <si>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</si>
  <si>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</si>
  <si>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</si>
  <si>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</si>
  <si>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</si>
  <si>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</si>
  <si>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</si>
  <si>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</si>
  <si>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</si>
  <si>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</si>
  <si>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</si>
  <si>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</si>
  <si>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</si>
  <si>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</si>
  <si>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</si>
  <si>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</si>
  <si>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</si>
  <si>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</si>
  <si>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</si>
  <si>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</si>
  <si>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</si>
  <si>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</si>
  <si>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</si>
  <si>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</si>
  <si>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</si>
  <si>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</si>
  <si>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</si>
  <si>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</si>
  <si>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</si>
  <si>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</si>
  <si>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</si>
  <si>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</si>
  <si>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</si>
  <si>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</si>
  <si>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</si>
  <si>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</si>
  <si>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</si>
  <si>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</si>
  <si>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</si>
  <si>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</si>
  <si>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</si>
  <si>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</si>
  <si>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</si>
  <si>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</si>
  <si>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</si>
  <si>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</si>
  <si>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</si>
  <si>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</si>
  <si>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</si>
  <si>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</si>
  <si>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</si>
  <si>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</si>
  <si>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</si>
  <si>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</si>
  <si>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</si>
  <si>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</si>
  <si>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</si>
  <si>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</si>
  <si>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</si>
  <si>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</si>
  <si>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</si>
  <si>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</si>
  <si>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</si>
  <si>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</si>
  <si>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</si>
  <si>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</si>
  <si>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</si>
  <si>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</si>
  <si>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</si>
  <si>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</si>
  <si>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</si>
  <si>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</si>
  <si>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</si>
  <si>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</si>
  <si>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</si>
  <si>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</si>
  <si>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</si>
  <si>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</si>
  <si>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</si>
  <si>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</si>
  <si>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</si>
  <si>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</si>
  <si>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</si>
  <si>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</si>
  <si>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</si>
  <si>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</si>
  <si>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</si>
  <si>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</si>
  <si>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</si>
  <si>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</si>
  <si>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</si>
  <si>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</si>
  <si>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</si>
  <si>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</si>
  <si>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</si>
  <si>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</si>
  <si>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</si>
  <si>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</si>
  <si>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</si>
  <si>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</si>
  <si>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</si>
  <si>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</si>
  <si>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</si>
  <si>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</si>
  <si>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</si>
  <si>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</si>
  <si>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</si>
  <si>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</si>
  <si>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</si>
  <si>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</si>
  <si>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</si>
  <si>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</si>
  <si>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</si>
  <si>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</si>
  <si>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</si>
  <si>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</si>
  <si>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</si>
  <si>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</si>
  <si>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</si>
  <si>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</si>
  <si>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</si>
  <si>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</si>
  <si>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</si>
  <si>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</si>
  <si>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</si>
  <si>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</si>
  <si>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</si>
  <si>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</si>
  <si>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</si>
  <si>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</si>
  <si>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</si>
  <si>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</si>
  <si>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</si>
  <si>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</si>
  <si>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</si>
  <si>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</si>
  <si>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</si>
  <si>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</si>
  <si>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</si>
  <si>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</si>
  <si>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</si>
  <si>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</si>
  <si>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</si>
  <si>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</si>
  <si>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</si>
  <si>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</si>
  <si>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</si>
  <si>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</si>
  <si>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</si>
  <si>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</si>
  <si>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</si>
  <si>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</si>
  <si>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</si>
  <si>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</si>
  <si>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</si>
  <si>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</si>
  <si>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</si>
  <si>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</si>
  <si>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</si>
  <si>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</si>
  <si>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</si>
  <si>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</si>
  <si>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</si>
  <si>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</si>
  <si>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</si>
  <si>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</si>
  <si>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</si>
  <si>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</si>
  <si>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</si>
  <si>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</si>
  <si>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</si>
  <si>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</si>
  <si>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</si>
  <si>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</si>
  <si>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</si>
  <si>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</si>
  <si>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</si>
  <si>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</si>
  <si>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</si>
  <si>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</si>
  <si>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</si>
  <si>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</si>
  <si>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</si>
  <si>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</si>
  <si>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</si>
  <si>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</si>
  <si>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</si>
  <si>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</si>
  <si>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</si>
  <si>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</si>
  <si>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</si>
  <si>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</si>
  <si>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</si>
  <si>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</si>
  <si>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</si>
  <si>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</si>
  <si>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</si>
  <si>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</si>
  <si>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</si>
  <si>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</si>
  <si>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</si>
  <si>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</si>
  <si>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</si>
  <si>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</si>
  <si>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</si>
  <si>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</si>
  <si>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</si>
  <si>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</si>
  <si>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</si>
  <si>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</si>
  <si>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</si>
  <si>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</si>
  <si>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</si>
  <si>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</si>
  <si>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</si>
  <si>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</si>
  <si>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</si>
  <si>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</si>
  <si>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</si>
  <si>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</si>
  <si>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</si>
  <si>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</si>
  <si>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</si>
  <si>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</si>
  <si>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</si>
  <si>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</si>
  <si>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</si>
  <si>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</si>
  <si>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</si>
  <si>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</si>
  <si>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</si>
  <si>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</si>
  <si>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</si>
  <si>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</si>
  <si>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</si>
  <si>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</si>
  <si>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</si>
  <si>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</si>
  <si>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</si>
  <si>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</si>
  <si>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</si>
  <si>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</si>
  <si>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</si>
  <si>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</si>
  <si>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</si>
  <si>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</si>
  <si>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</si>
  <si>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</si>
  <si>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</si>
  <si>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</si>
  <si>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</si>
  <si>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</si>
  <si>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</si>
  <si>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</si>
  <si>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</si>
  <si>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</si>
  <si>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</si>
  <si>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</si>
  <si>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</si>
  <si>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</si>
  <si>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</si>
  <si>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</si>
  <si>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</si>
  <si>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</si>
  <si>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</si>
  <si>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</si>
  <si>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</si>
  <si>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</si>
  <si>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</si>
  <si>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</si>
  <si>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</si>
  <si>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</si>
  <si>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</si>
  <si>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</si>
  <si>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</si>
  <si>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</si>
  <si>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</si>
  <si>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</si>
  <si>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</si>
  <si>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</si>
  <si>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</si>
  <si>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</si>
  <si>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</si>
  <si>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</si>
  <si>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</si>
  <si>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</si>
  <si>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</si>
  <si>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</si>
  <si>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</si>
  <si>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</si>
  <si>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</si>
  <si>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</si>
  <si>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</si>
  <si>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</si>
  <si>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</si>
  <si>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</si>
  <si>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</si>
  <si>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</si>
  <si>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</si>
  <si>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</si>
  <si>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</si>
  <si>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</si>
  <si>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</si>
  <si>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</si>
  <si>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</si>
  <si>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</si>
  <si>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</si>
  <si>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</si>
  <si>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</si>
  <si>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</si>
  <si>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</si>
  <si>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</si>
  <si>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</si>
  <si>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</si>
  <si>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</si>
  <si>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</si>
  <si>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</si>
  <si>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</si>
  <si>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</si>
  <si>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</si>
  <si>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</si>
  <si>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</si>
  <si>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</si>
  <si>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</si>
  <si>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</si>
  <si>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</si>
  <si>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</si>
  <si>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</si>
  <si>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</si>
  <si>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</si>
  <si>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</si>
  <si>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</si>
  <si>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</si>
  <si>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</si>
  <si>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</si>
  <si>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</si>
  <si>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</si>
  <si>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</si>
  <si>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</si>
  <si>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</si>
  <si>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</si>
  <si>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</si>
  <si>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</si>
  <si>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</si>
  <si>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</si>
  <si>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</si>
  <si>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</si>
  <si>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</si>
  <si>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</si>
  <si>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</si>
  <si>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</si>
  <si>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</si>
  <si>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</si>
  <si>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</si>
  <si>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</si>
  <si>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</si>
  <si>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</si>
  <si>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</si>
  <si>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</si>
  <si>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</si>
  <si>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</si>
  <si>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</si>
  <si>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</si>
  <si>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</si>
  <si>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</si>
  <si>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</si>
  <si>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</si>
  <si>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</si>
  <si>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</si>
  <si>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</si>
  <si>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</si>
  <si>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</si>
  <si>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</si>
  <si>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</si>
  <si>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</si>
  <si>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</si>
  <si>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</si>
  <si>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</si>
  <si>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</si>
  <si>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</si>
  <si>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</si>
  <si>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</si>
  <si>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</si>
  <si>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</si>
  <si>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</si>
  <si>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</si>
  <si>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</si>
  <si>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</si>
  <si>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</si>
  <si>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</si>
  <si>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</si>
  <si>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</si>
  <si>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</si>
  <si>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</si>
  <si>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</si>
  <si>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</si>
  <si>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</si>
  <si>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</si>
  <si>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</si>
  <si>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</si>
  <si>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</si>
  <si>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</si>
  <si>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</si>
  <si>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</si>
  <si>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</si>
  <si>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</si>
  <si>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</si>
  <si>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</si>
  <si>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</si>
  <si>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</si>
  <si>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</si>
  <si>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</si>
  <si>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</si>
  <si>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</si>
  <si>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</si>
  <si>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</si>
  <si>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</si>
  <si>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</si>
  <si>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</si>
  <si>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</si>
  <si>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</si>
  <si>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</si>
  <si>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</si>
  <si>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</si>
  <si>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</si>
  <si>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</si>
  <si>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</si>
  <si>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</si>
  <si>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</si>
  <si>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</si>
  <si>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</si>
  <si>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</si>
  <si>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</si>
  <si>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</si>
  <si>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</si>
  <si>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</si>
  <si>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</si>
  <si>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</si>
  <si>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</si>
  <si>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</si>
  <si>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</si>
  <si>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</si>
  <si>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</si>
  <si>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</si>
  <si>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</si>
  <si>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</si>
  <si>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</si>
  <si>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</si>
  <si>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</si>
  <si>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</si>
  <si>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</si>
  <si>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</si>
  <si>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</si>
  <si>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</si>
  <si>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</si>
  <si>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</si>
  <si>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</si>
  <si>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</si>
  <si>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</si>
  <si>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</si>
  <si>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</si>
  <si>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</si>
  <si>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</si>
  <si>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</si>
  <si>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</si>
  <si>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</si>
  <si>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</si>
  <si>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</si>
  <si>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</si>
  <si>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</si>
  <si>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</si>
  <si>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</si>
  <si>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</si>
  <si>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</si>
  <si>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</si>
  <si>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</si>
  <si>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</si>
  <si>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</si>
  <si>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</si>
  <si>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</si>
  <si>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</si>
  <si>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</si>
  <si>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</si>
  <si>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</si>
  <si>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</si>
  <si>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</si>
  <si>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</si>
  <si>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</si>
  <si>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</si>
  <si>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</si>
  <si>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</si>
  <si>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</si>
  <si>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</si>
  <si>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</si>
  <si>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</si>
  <si>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</si>
  <si>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</si>
  <si>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</si>
  <si>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</si>
  <si>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</si>
  <si>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</si>
  <si>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</si>
  <si>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</si>
  <si>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</si>
  <si>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</si>
  <si>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</si>
  <si>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</si>
  <si>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</si>
  <si>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</si>
  <si>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</si>
  <si>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</si>
  <si>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</si>
  <si>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</si>
  <si>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</si>
  <si>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</si>
  <si>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</si>
  <si>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</si>
  <si>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</si>
  <si>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</si>
  <si>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</si>
  <si>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</si>
  <si>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</si>
  <si>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</si>
  <si>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</si>
  <si>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</si>
  <si>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</si>
  <si>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</si>
  <si>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</si>
  <si>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</si>
  <si>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</si>
  <si>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</si>
  <si>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</si>
  <si>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</si>
  <si>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</si>
  <si>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</si>
  <si>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</si>
  <si>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</si>
  <si>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</si>
  <si>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</si>
  <si>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</si>
  <si>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</si>
  <si>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</si>
  <si>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</si>
  <si>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</si>
  <si>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</si>
  <si>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</si>
  <si>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</si>
  <si>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</si>
  <si>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</si>
  <si>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</si>
  <si>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</si>
  <si>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</si>
  <si>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</si>
  <si>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</si>
  <si>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</si>
  <si>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</si>
  <si>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</si>
  <si>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</si>
  <si>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</si>
  <si>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</si>
  <si>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</si>
  <si>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</si>
  <si>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</si>
  <si>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</si>
  <si>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</si>
  <si>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</si>
  <si>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</si>
  <si>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</si>
  <si>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</si>
  <si>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</si>
  <si>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</si>
  <si>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</si>
  <si>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</si>
  <si>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</si>
  <si>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</si>
  <si>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</si>
  <si>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</si>
  <si>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</si>
  <si>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</si>
  <si>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</si>
  <si>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</si>
  <si>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</si>
  <si>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</si>
  <si>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</si>
  <si>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</si>
  <si>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</si>
  <si>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</si>
  <si>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</si>
  <si>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</si>
  <si>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</si>
  <si>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</si>
  <si>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</si>
  <si>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</si>
  <si>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</si>
  <si>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</si>
  <si>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</si>
  <si>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</si>
  <si>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</si>
  <si>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</si>
  <si>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</si>
  <si>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</si>
  <si>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</si>
  <si>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</si>
  <si>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</si>
  <si>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</si>
  <si>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</si>
  <si>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</si>
  <si>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</si>
  <si>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</si>
  <si>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</si>
  <si>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</si>
  <si>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</si>
  <si>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</si>
  <si>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</si>
  <si>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</si>
  <si>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</si>
  <si>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</si>
  <si>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</si>
  <si>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</si>
  <si>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</si>
  <si>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</si>
  <si>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</si>
  <si>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</si>
  <si>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</si>
  <si>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</si>
  <si>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</si>
  <si>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</si>
  <si>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</si>
  <si>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</si>
  <si>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</si>
  <si>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</si>
  <si>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</si>
  <si>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</si>
  <si>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</si>
  <si>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</si>
  <si>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</si>
  <si>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</si>
  <si>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</si>
  <si>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</si>
  <si>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</si>
  <si>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</si>
  <si>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</si>
  <si>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</si>
  <si>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</si>
  <si>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</si>
  <si>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</si>
  <si>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</si>
  <si>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</si>
  <si>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</si>
  <si>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</si>
  <si>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</si>
  <si>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</si>
  <si>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</si>
  <si>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</si>
  <si>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</si>
  <si>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</si>
  <si>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</si>
  <si>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</si>
  <si>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</si>
  <si>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</si>
  <si>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</si>
  <si>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</si>
  <si>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</si>
  <si>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</si>
  <si>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</si>
  <si>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</si>
  <si>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</si>
  <si>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</si>
  <si>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</si>
  <si>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</si>
  <si>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</si>
  <si>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</si>
  <si>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</si>
  <si>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</si>
  <si>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</si>
  <si>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</si>
  <si>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</si>
  <si>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</si>
  <si>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</si>
  <si>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</si>
  <si>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</si>
  <si>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</si>
  <si>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</si>
  <si>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</si>
  <si>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</si>
  <si>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</si>
  <si>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</si>
  <si>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</si>
  <si>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</si>
  <si>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</si>
  <si>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</si>
  <si>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</si>
  <si>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</si>
  <si>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</si>
  <si>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</si>
  <si>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</si>
  <si>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</si>
  <si>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</si>
  <si>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</si>
  <si>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</si>
  <si>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</si>
  <si>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</si>
  <si>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</si>
  <si>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</si>
  <si>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</si>
  <si>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</si>
  <si>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</si>
  <si>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</si>
  <si>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</si>
  <si>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</si>
  <si>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</si>
  <si>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</si>
  <si>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</si>
  <si>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</si>
  <si>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</si>
  <si>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</si>
  <si>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</si>
  <si>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</si>
  <si>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</si>
  <si>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</si>
  <si>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</si>
  <si>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</si>
  <si>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</si>
  <si>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</si>
  <si>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</si>
  <si>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</si>
  <si>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</si>
  <si>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</si>
  <si>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</si>
  <si>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</si>
  <si>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</si>
  <si>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</si>
  <si>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</si>
  <si>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</si>
  <si>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</si>
  <si>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</si>
  <si>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</si>
  <si>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</si>
  <si>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</si>
  <si>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</si>
  <si>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</si>
  <si>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</si>
  <si>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</si>
  <si>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</si>
  <si>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</si>
  <si>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</si>
  <si>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</si>
  <si>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</si>
  <si>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</si>
  <si>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</si>
  <si>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</si>
  <si>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</si>
  <si>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</si>
  <si>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</si>
  <si>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</si>
  <si>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</si>
  <si>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</si>
  <si>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</si>
  <si>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</si>
  <si>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</si>
  <si>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</si>
  <si>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</si>
  <si>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</si>
  <si>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</si>
  <si>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</si>
  <si>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</si>
  <si>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</si>
  <si>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</si>
  <si>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</si>
  <si>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</si>
  <si>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</si>
  <si>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</si>
  <si>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</si>
  <si>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</si>
  <si>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</si>
  <si>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</si>
  <si>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</si>
  <si>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</si>
  <si>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</si>
  <si>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</si>
  <si>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</si>
  <si>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</si>
  <si>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</si>
  <si>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</si>
  <si>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</si>
  <si>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</si>
  <si>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</si>
  <si>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</si>
  <si>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</si>
  <si>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</si>
  <si>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</si>
  <si>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</si>
  <si>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</si>
  <si>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</si>
  <si>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</si>
  <si>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</si>
  <si>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</si>
  <si>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</si>
  <si>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</si>
  <si>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</si>
  <si>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</si>
  <si>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</si>
  <si>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</si>
  <si>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</si>
  <si>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</si>
  <si>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</si>
  <si>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</si>
  <si>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</si>
  <si>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</si>
  <si>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</si>
  <si>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</si>
  <si>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</si>
  <si>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</si>
  <si>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</si>
  <si>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</si>
  <si>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</si>
  <si>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</si>
  <si>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</si>
  <si>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</si>
  <si>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</si>
  <si>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</si>
  <si>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</si>
  <si>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</si>
  <si>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</si>
  <si>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</si>
  <si>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</si>
  <si>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</si>
  <si>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</si>
  <si>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</si>
  <si>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</si>
  <si>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</si>
  <si>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</si>
  <si>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</si>
  <si>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</si>
  <si>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</si>
  <si>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</si>
  <si>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</si>
  <si>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</si>
  <si>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</si>
  <si>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</si>
  <si>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</si>
  <si>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</si>
  <si>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</si>
  <si>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</si>
  <si>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</si>
  <si>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</si>
  <si>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</si>
  <si>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</si>
  <si>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</si>
  <si>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</si>
  <si>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</si>
  <si>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</si>
  <si>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</si>
  <si>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</si>
  <si>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</si>
  <si>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</si>
  <si>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</si>
  <si>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</si>
  <si>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</si>
  <si>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</si>
  <si>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</si>
  <si>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</si>
  <si>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</si>
  <si>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</si>
  <si>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</si>
  <si>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</si>
  <si>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</si>
  <si>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</si>
  <si>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</si>
  <si>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</si>
  <si>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</si>
  <si>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</si>
  <si>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</si>
  <si>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</si>
  <si>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</si>
  <si>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</si>
  <si>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</si>
  <si>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</si>
  <si>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</si>
  <si>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</si>
  <si>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</si>
  <si>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</si>
  <si>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</si>
  <si>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</si>
  <si>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</si>
  <si>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</si>
  <si>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</si>
  <si>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</si>
  <si>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</si>
  <si>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</si>
  <si>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</si>
  <si>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</si>
  <si>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</si>
  <si>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</si>
  <si>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</si>
  <si>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</si>
  <si>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</si>
  <si>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</si>
  <si>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</si>
  <si>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</si>
  <si>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</si>
  <si>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</si>
  <si>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</si>
  <si>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</si>
  <si>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</si>
  <si>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</si>
  <si>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</si>
  <si>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</si>
  <si>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</si>
  <si>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</si>
  <si>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</si>
  <si>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</si>
  <si>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</si>
  <si>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</si>
  <si>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</si>
  <si>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</si>
  <si>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</si>
  <si>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</si>
  <si>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</si>
  <si>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</si>
  <si>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</si>
  <si>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</si>
  <si>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</si>
  <si>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</si>
  <si>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</si>
  <si>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</si>
  <si>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</si>
  <si>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</si>
  <si>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</si>
  <si>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</si>
  <si>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</si>
  <si>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</si>
  <si>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</si>
  <si>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</si>
  <si>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</si>
  <si>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</si>
  <si>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</si>
  <si>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</si>
  <si>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</si>
  <si>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</si>
  <si>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</si>
  <si>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</si>
  <si>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</si>
  <si>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</si>
  <si>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</si>
  <si>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</si>
  <si>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</si>
  <si>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</si>
  <si>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</si>
  <si>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</si>
  <si>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</si>
  <si>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</si>
  <si>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</si>
  <si>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</si>
  <si>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</si>
  <si>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</si>
  <si>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</si>
  <si>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</si>
  <si>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</si>
  <si>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</si>
  <si>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</si>
  <si>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</si>
  <si>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</si>
  <si>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</si>
  <si>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</si>
  <si>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</si>
  <si>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</si>
  <si>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</si>
  <si>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</si>
  <si>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</si>
  <si>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</si>
  <si>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</si>
  <si>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</si>
  <si>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</si>
  <si>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</si>
  <si>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</si>
  <si>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</si>
  <si>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</si>
  <si>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</si>
  <si>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</si>
  <si>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</si>
  <si>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</si>
  <si>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</si>
  <si>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</si>
  <si>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</si>
  <si>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</si>
  <si>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</si>
  <si>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</si>
  <si>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</si>
  <si>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</si>
  <si>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</si>
  <si>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</si>
  <si>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</si>
  <si>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</si>
  <si>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</si>
  <si>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</si>
  <si>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</si>
  <si>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</si>
  <si>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</si>
  <si>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</si>
  <si>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</si>
  <si>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</si>
  <si>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</si>
  <si>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</si>
  <si>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</si>
  <si>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</si>
  <si>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</si>
  <si>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</si>
  <si>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</si>
  <si>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</si>
  <si>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</si>
  <si>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</si>
  <si>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</si>
  <si>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</si>
  <si>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</si>
  <si>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</si>
  <si>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</si>
  <si>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</si>
  <si>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</si>
  <si>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</si>
  <si>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</si>
  <si>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</si>
  <si>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</si>
  <si>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</si>
  <si>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</si>
  <si>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</si>
  <si>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</si>
  <si>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</si>
  <si>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</si>
  <si>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</si>
  <si>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</si>
  <si>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</si>
  <si>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</si>
  <si>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</si>
  <si>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</si>
  <si>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</si>
  <si>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</si>
  <si>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</si>
  <si>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</si>
  <si>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</si>
  <si>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</si>
  <si>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</si>
  <si>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</si>
  <si>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</si>
  <si>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</si>
  <si>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</si>
  <si>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</si>
  <si>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</si>
  <si>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</si>
  <si>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</si>
  <si>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</si>
  <si>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</si>
  <si>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</si>
  <si>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</si>
  <si>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</si>
  <si>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</si>
  <si>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</si>
  <si>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</si>
  <si>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</si>
  <si>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</si>
  <si>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</si>
  <si>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</si>
  <si>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</si>
  <si>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</si>
  <si>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</si>
  <si>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</si>
  <si>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</si>
  <si>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</si>
  <si>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</si>
  <si>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</si>
  <si>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</si>
  <si>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</si>
  <si>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</si>
  <si>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</si>
  <si>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</si>
  <si>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</si>
  <si>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</si>
  <si>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</si>
  <si>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</si>
  <si>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</si>
  <si>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</si>
  <si>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</si>
  <si>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</si>
  <si>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</si>
  <si>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</si>
  <si>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</si>
  <si>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</si>
  <si>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</si>
  <si>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</si>
  <si>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</si>
  <si>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</si>
  <si>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</si>
  <si>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</si>
  <si>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</si>
  <si>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</si>
  <si>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</si>
  <si>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</si>
  <si>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</si>
  <si>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</si>
  <si>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</si>
  <si>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</si>
  <si>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</si>
  <si>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</si>
  <si>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</si>
  <si>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</si>
  <si>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</si>
  <si>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</si>
  <si>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</si>
  <si>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</si>
  <si>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</si>
  <si>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</si>
  <si>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</si>
  <si>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</si>
  <si>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</si>
  <si>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</si>
  <si>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</si>
  <si>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</si>
  <si>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</si>
  <si>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</si>
  <si>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</si>
  <si>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</si>
  <si>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</si>
  <si>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</si>
  <si>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</si>
  <si>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</si>
  <si>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</si>
  <si>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Data Delay Devices</t>
  </si>
  <si>
    <t>Victor Lupi</t>
  </si>
  <si>
    <t>victorl@datadelay.com</t>
  </si>
  <si>
    <t>973-773-2299 x123</t>
  </si>
  <si>
    <t>VP - Engineering</t>
  </si>
  <si>
    <t>CH-6850 Mendrisio , Switzerland</t>
  </si>
  <si>
    <t>Fuini Alessandra</t>
  </si>
  <si>
    <t>alessandra.fuini@argor.com</t>
  </si>
  <si>
    <t>Routes des Perveuills</t>
  </si>
  <si>
    <t>Gilles Robert</t>
  </si>
  <si>
    <t>Gilles Robert@metalor.com</t>
  </si>
  <si>
    <t>No.27, Jalan Pantai</t>
  </si>
  <si>
    <t>Mr Raveentiran</t>
  </si>
  <si>
    <t>raveentiran@msmelt.com</t>
  </si>
  <si>
    <t>recycled or scrap</t>
  </si>
  <si>
    <t>recycled or scrapped</t>
  </si>
  <si>
    <t>Recycled and scrap sourced</t>
  </si>
  <si>
    <t>Rahman Hydraulic Tin Sdn. Bhd.</t>
  </si>
  <si>
    <t>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</si>
</sst>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8">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6"/>
      <name val="ＭＳ Ｐゴシック"/>
      <family val="3"/>
      <charset val="128"/>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4">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0" fontId="0" fillId="33" borderId="53" xfId="0" applyFill="1" applyBorder="1" applyAlignment="1" applyProtection="1">
      <alignment horizontal="left" vertical="center" wrapText="1"/>
      <protection locked="0" hidden="1"/>
    </xf>
    <xf numFmtId="0" fontId="0" fillId="33" borderId="42" xfId="0" applyFill="1" applyBorder="1" applyAlignment="1" applyProtection="1">
      <alignment horizontal="left" vertical="center" wrapText="1"/>
      <protection locked="0" hidden="1"/>
    </xf>
    <xf numFmtId="0" fontId="0" fillId="0" borderId="19" xfId="0" applyBorder="1" applyAlignment="1" applyProtection="1">
      <alignment wrapText="1"/>
      <protection locked="0"/>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6010000}"/>
    <cellStyle name="Hyperlink 3" xfId="489" xr:uid="{00000000-0005-0000-0000-0000E7010000}"/>
    <cellStyle name="Hyperlink 4" xfId="490" xr:uid="{00000000-0005-0000-0000-0000E8010000}"/>
    <cellStyle name="Hyperlink 5" xfId="491" xr:uid="{00000000-0005-0000-0000-0000E9010000}"/>
    <cellStyle name="Hyperlink 5 2" xfId="492" xr:uid="{00000000-0005-0000-0000-0000EA010000}"/>
    <cellStyle name="Hyperlink 6" xfId="493" xr:uid="{00000000-0005-0000-0000-0000EB010000}"/>
    <cellStyle name="Hyperlink 7" xfId="494" xr:uid="{00000000-0005-0000-0000-0000EC010000}"/>
    <cellStyle name="Input 2" xfId="495" xr:uid="{00000000-0005-0000-0000-0000ED010000}"/>
    <cellStyle name="Linked Cell 2" xfId="496" xr:uid="{00000000-0005-0000-0000-0000EE010000}"/>
    <cellStyle name="Neutral 2" xfId="497" xr:uid="{00000000-0005-0000-0000-0000EF010000}"/>
    <cellStyle name="Normal" xfId="0" builtinId="0"/>
    <cellStyle name="Normal 10" xfId="498" xr:uid="{00000000-0005-0000-0000-0000F0010000}"/>
    <cellStyle name="Normal 100" xfId="499" xr:uid="{00000000-0005-0000-0000-0000F1010000}"/>
    <cellStyle name="Normal 118" xfId="500" xr:uid="{00000000-0005-0000-0000-0000F2010000}"/>
    <cellStyle name="Normal 12" xfId="501" xr:uid="{00000000-0005-0000-0000-0000F3010000}"/>
    <cellStyle name="Normal 13" xfId="502" xr:uid="{00000000-0005-0000-0000-0000F4010000}"/>
    <cellStyle name="Normal 13 2" xfId="503" xr:uid="{00000000-0005-0000-0000-0000F5010000}"/>
    <cellStyle name="Normal 13 2 2" xfId="504" xr:uid="{00000000-0005-0000-0000-0000F6010000}"/>
    <cellStyle name="Normal 13 2 2 2" xfId="505" xr:uid="{00000000-0005-0000-0000-0000F7010000}"/>
    <cellStyle name="Normal 13 2 2 2 2" xfId="506" xr:uid="{00000000-0005-0000-0000-0000F8010000}"/>
    <cellStyle name="Normal 13 2 2 2 3" xfId="507" xr:uid="{00000000-0005-0000-0000-0000F9010000}"/>
    <cellStyle name="Normal 13 2 3" xfId="508" xr:uid="{00000000-0005-0000-0000-0000FA010000}"/>
    <cellStyle name="Normal 13 3" xfId="509" xr:uid="{00000000-0005-0000-0000-0000FB010000}"/>
    <cellStyle name="Normal 13 3 2" xfId="510" xr:uid="{00000000-0005-0000-0000-0000FC010000}"/>
    <cellStyle name="Normal 13 4" xfId="511" xr:uid="{00000000-0005-0000-0000-0000FD010000}"/>
    <cellStyle name="Normal 13 6" xfId="512" xr:uid="{00000000-0005-0000-0000-0000FE010000}"/>
    <cellStyle name="Normal 15" xfId="513" xr:uid="{00000000-0005-0000-0000-0000FF010000}"/>
    <cellStyle name="Normal 16" xfId="514" xr:uid="{00000000-0005-0000-0000-000000020000}"/>
    <cellStyle name="Normal 17" xfId="515" xr:uid="{00000000-0005-0000-0000-000001020000}"/>
    <cellStyle name="Normal 19" xfId="516" xr:uid="{00000000-0005-0000-0000-000002020000}"/>
    <cellStyle name="Normal 2" xfId="517" xr:uid="{00000000-0005-0000-0000-000003020000}"/>
    <cellStyle name="Normal 2 2" xfId="518" xr:uid="{00000000-0005-0000-0000-000004020000}"/>
    <cellStyle name="Normal 2 2 2" xfId="519" xr:uid="{00000000-0005-0000-0000-000005020000}"/>
    <cellStyle name="Normal 2 2 3" xfId="520" xr:uid="{00000000-0005-0000-0000-000006020000}"/>
    <cellStyle name="Normal 2 3" xfId="521" xr:uid="{00000000-0005-0000-0000-000007020000}"/>
    <cellStyle name="Normal 2 3 2" xfId="522" xr:uid="{00000000-0005-0000-0000-000008020000}"/>
    <cellStyle name="Normal 2 4" xfId="523" xr:uid="{00000000-0005-0000-0000-000009020000}"/>
    <cellStyle name="Normal 2 4 2" xfId="524" xr:uid="{00000000-0005-0000-0000-00000A020000}"/>
    <cellStyle name="Normal 2 5" xfId="525" xr:uid="{00000000-0005-0000-0000-00000B020000}"/>
    <cellStyle name="Normal 23" xfId="526" xr:uid="{00000000-0005-0000-0000-00000C020000}"/>
    <cellStyle name="Normal 3" xfId="527" xr:uid="{00000000-0005-0000-0000-00000D020000}"/>
    <cellStyle name="Normal 3 2" xfId="528" xr:uid="{00000000-0005-0000-0000-00000E020000}"/>
    <cellStyle name="Normal 3 2 11" xfId="529" xr:uid="{00000000-0005-0000-0000-00000F020000}"/>
    <cellStyle name="Normal 3 3" xfId="530" xr:uid="{00000000-0005-0000-0000-000010020000}"/>
    <cellStyle name="Normal 3 4" xfId="531" xr:uid="{00000000-0005-0000-0000-000011020000}"/>
    <cellStyle name="Normal 3 8" xfId="532" xr:uid="{00000000-0005-0000-0000-000012020000}"/>
    <cellStyle name="Normal 3 8 2" xfId="533" xr:uid="{00000000-0005-0000-0000-000013020000}"/>
    <cellStyle name="Normal 3 8 2 2" xfId="534" xr:uid="{00000000-0005-0000-0000-000014020000}"/>
    <cellStyle name="Normal 3 8 3" xfId="535" xr:uid="{00000000-0005-0000-0000-000015020000}"/>
    <cellStyle name="Normal 4" xfId="536" xr:uid="{00000000-0005-0000-0000-000016020000}"/>
    <cellStyle name="Normal 4 2" xfId="537" xr:uid="{00000000-0005-0000-0000-000017020000}"/>
    <cellStyle name="Normal 4 3" xfId="538" xr:uid="{00000000-0005-0000-0000-000018020000}"/>
    <cellStyle name="Normal 4 4" xfId="539" xr:uid="{00000000-0005-0000-0000-000019020000}"/>
    <cellStyle name="Normal 416" xfId="540" xr:uid="{00000000-0005-0000-0000-00001A020000}"/>
    <cellStyle name="Normal 417" xfId="541" xr:uid="{00000000-0005-0000-0000-00001B020000}"/>
    <cellStyle name="Normal 428" xfId="542" xr:uid="{00000000-0005-0000-0000-00001C020000}"/>
    <cellStyle name="Normal 429" xfId="543" xr:uid="{00000000-0005-0000-0000-00001D020000}"/>
    <cellStyle name="Normal 486" xfId="544" xr:uid="{00000000-0005-0000-0000-00001E020000}"/>
    <cellStyle name="Normal 487" xfId="545" xr:uid="{00000000-0005-0000-0000-00001F020000}"/>
    <cellStyle name="Normal 489" xfId="546" xr:uid="{00000000-0005-0000-0000-000020020000}"/>
    <cellStyle name="Normal 490" xfId="547" xr:uid="{00000000-0005-0000-0000-000021020000}"/>
    <cellStyle name="Normal 5" xfId="548" xr:uid="{00000000-0005-0000-0000-000022020000}"/>
    <cellStyle name="Normal 5 2" xfId="549" xr:uid="{00000000-0005-0000-0000-000023020000}"/>
    <cellStyle name="Normal 5 3" xfId="550" xr:uid="{00000000-0005-0000-0000-000024020000}"/>
    <cellStyle name="Normal 506" xfId="551" xr:uid="{00000000-0005-0000-0000-000025020000}"/>
    <cellStyle name="Normal 516" xfId="552" xr:uid="{00000000-0005-0000-0000-000026020000}"/>
    <cellStyle name="Normal 517" xfId="553" xr:uid="{00000000-0005-0000-0000-000027020000}"/>
    <cellStyle name="Normal 53" xfId="554" xr:uid="{00000000-0005-0000-0000-000028020000}"/>
    <cellStyle name="Normal 54" xfId="555" xr:uid="{00000000-0005-0000-0000-000029020000}"/>
    <cellStyle name="Normal 542" xfId="556" xr:uid="{00000000-0005-0000-0000-00002A020000}"/>
    <cellStyle name="Normal 543" xfId="557" xr:uid="{00000000-0005-0000-0000-00002B020000}"/>
    <cellStyle name="Normal 544" xfId="558" xr:uid="{00000000-0005-0000-0000-00002C020000}"/>
    <cellStyle name="Normal 547" xfId="559" xr:uid="{00000000-0005-0000-0000-00002D020000}"/>
    <cellStyle name="Normal 548" xfId="560" xr:uid="{00000000-0005-0000-0000-00002E020000}"/>
    <cellStyle name="Normal 550" xfId="561" xr:uid="{00000000-0005-0000-0000-00002F020000}"/>
    <cellStyle name="Normal 571" xfId="562" xr:uid="{00000000-0005-0000-0000-000030020000}"/>
    <cellStyle name="Normal 572" xfId="563" xr:uid="{00000000-0005-0000-0000-000031020000}"/>
    <cellStyle name="Normal 6" xfId="564" xr:uid="{00000000-0005-0000-0000-000032020000}"/>
    <cellStyle name="Normal 6 2" xfId="565" xr:uid="{00000000-0005-0000-0000-000033020000}"/>
    <cellStyle name="Normal 6 3" xfId="566" xr:uid="{00000000-0005-0000-0000-000034020000}"/>
    <cellStyle name="Normal 7" xfId="567" xr:uid="{00000000-0005-0000-0000-000035020000}"/>
    <cellStyle name="Normal 7 2" xfId="568" xr:uid="{00000000-0005-0000-0000-000036020000}"/>
    <cellStyle name="Normal 8" xfId="569" xr:uid="{00000000-0005-0000-0000-000037020000}"/>
    <cellStyle name="Normal 9" xfId="592" xr:uid="{00000000-0005-0000-0000-000038020000}"/>
    <cellStyle name="Normal_Sheet1" xfId="570" xr:uid="{00000000-0005-0000-0000-000039020000}"/>
    <cellStyle name="Note 2" xfId="571" xr:uid="{00000000-0005-0000-0000-00003A020000}"/>
    <cellStyle name="Output 2" xfId="572" xr:uid="{00000000-0005-0000-0000-00003B020000}"/>
    <cellStyle name="Percent 2" xfId="573" xr:uid="{00000000-0005-0000-0000-00003C020000}"/>
    <cellStyle name="Standard 3" xfId="574" xr:uid="{00000000-0005-0000-0000-00003D020000}"/>
    <cellStyle name="Standard 4" xfId="575" xr:uid="{00000000-0005-0000-0000-00003E020000}"/>
    <cellStyle name="Standard 4 2" xfId="576" xr:uid="{00000000-0005-0000-0000-00003F020000}"/>
    <cellStyle name="Standard 4 2 2" xfId="577" xr:uid="{00000000-0005-0000-0000-000040020000}"/>
    <cellStyle name="Standard 4 2 2 2" xfId="578" xr:uid="{00000000-0005-0000-0000-000041020000}"/>
    <cellStyle name="Standard 4 2 3" xfId="579" xr:uid="{00000000-0005-0000-0000-000042020000}"/>
    <cellStyle name="Standard 4 3" xfId="580" xr:uid="{00000000-0005-0000-0000-000043020000}"/>
    <cellStyle name="Standard 4 3 2" xfId="581" xr:uid="{00000000-0005-0000-0000-000044020000}"/>
    <cellStyle name="Standard 4 4" xfId="582" xr:uid="{00000000-0005-0000-0000-000045020000}"/>
    <cellStyle name="Standard 6" xfId="583" xr:uid="{00000000-0005-0000-0000-000046020000}"/>
    <cellStyle name="Title 2" xfId="584" xr:uid="{00000000-0005-0000-0000-000047020000}"/>
    <cellStyle name="Total 2" xfId="585" xr:uid="{00000000-0005-0000-0000-000048020000}"/>
    <cellStyle name="Warning Text 2" xfId="586" xr:uid="{00000000-0005-0000-0000-000049020000}"/>
    <cellStyle name="표준 2" xfId="587" xr:uid="{00000000-0005-0000-0000-000050020000}"/>
    <cellStyle name="一般 7" xfId="588" xr:uid="{00000000-0005-0000-0000-00004B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victorl@datadelay.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mailto:victorl@datadelay.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6"/>
  <cols>
    <col min="1" max="1" width="0.81640625" style="113" customWidth="1"/>
    <col min="2" max="2" width="8" style="113" customWidth="1"/>
    <col min="3" max="3" width="8.6328125" style="113" customWidth="1"/>
    <col min="4" max="4" width="13" style="215" customWidth="1"/>
    <col min="5" max="5" width="42.36328125" style="113" customWidth="1"/>
    <col min="6" max="6" width="53.36328125" style="113" customWidth="1"/>
    <col min="7" max="7" width="0.81640625" style="113" customWidth="1"/>
    <col min="8" max="16384" width="9" style="113"/>
  </cols>
  <sheetData>
    <row r="1" spans="1:7" ht="13.2" thickTop="1">
      <c r="A1" s="9"/>
      <c r="B1" s="10"/>
      <c r="C1" s="10"/>
      <c r="D1" s="207"/>
      <c r="E1" s="10"/>
      <c r="F1" s="10"/>
      <c r="G1" s="11"/>
    </row>
    <row r="2" spans="1:7">
      <c r="A2" s="357"/>
      <c r="B2" s="38" t="s">
        <v>870</v>
      </c>
      <c r="C2" s="36"/>
      <c r="D2" s="208"/>
      <c r="E2" s="3"/>
      <c r="F2" s="36"/>
      <c r="G2" s="34"/>
    </row>
    <row r="3" spans="1:7">
      <c r="A3" s="357"/>
      <c r="B3" s="5" t="s">
        <v>862</v>
      </c>
      <c r="C3" s="6"/>
      <c r="D3" s="209"/>
      <c r="E3" s="3"/>
      <c r="F3" s="6"/>
      <c r="G3" s="34"/>
    </row>
    <row r="4" spans="1:7" ht="15">
      <c r="A4" s="357"/>
      <c r="B4" s="41" t="s">
        <v>872</v>
      </c>
      <c r="C4" s="7"/>
      <c r="D4" s="210"/>
      <c r="E4" s="3"/>
      <c r="F4" s="7"/>
      <c r="G4" s="34"/>
    </row>
    <row r="5" spans="1:7" ht="13.2">
      <c r="A5" s="357"/>
      <c r="B5" s="40" t="s">
        <v>1063</v>
      </c>
      <c r="C5" s="4"/>
      <c r="D5" s="211"/>
      <c r="E5" s="3"/>
      <c r="F5" s="4"/>
      <c r="G5" s="34"/>
    </row>
    <row r="6" spans="1:7">
      <c r="A6" s="357"/>
      <c r="B6" s="8"/>
      <c r="C6" s="8"/>
      <c r="D6" s="212"/>
      <c r="E6" s="8"/>
      <c r="F6" s="8"/>
      <c r="G6" s="34"/>
    </row>
    <row r="7" spans="1:7">
      <c r="A7" s="357"/>
      <c r="B7" s="8"/>
      <c r="C7" s="8"/>
      <c r="D7" s="212"/>
      <c r="E7" s="8"/>
      <c r="F7" s="8"/>
      <c r="G7" s="34"/>
    </row>
    <row r="8" spans="1:7">
      <c r="A8" s="357"/>
      <c r="B8" s="8"/>
      <c r="C8" s="8"/>
      <c r="D8" s="212"/>
      <c r="E8" s="8"/>
      <c r="F8" s="8"/>
      <c r="G8" s="34"/>
    </row>
    <row r="9" spans="1:7">
      <c r="A9" s="357"/>
      <c r="B9" s="360" t="s">
        <v>873</v>
      </c>
      <c r="C9" s="360"/>
      <c r="D9" s="360"/>
      <c r="E9" s="360"/>
      <c r="F9" s="360"/>
      <c r="G9" s="34"/>
    </row>
    <row r="10" spans="1:7" ht="27" customHeight="1">
      <c r="A10" s="357"/>
      <c r="B10" s="361" t="s">
        <v>448</v>
      </c>
      <c r="C10" s="361"/>
      <c r="D10" s="361"/>
      <c r="E10" s="361"/>
      <c r="F10" s="361"/>
      <c r="G10" s="34"/>
    </row>
    <row r="11" spans="1:7" ht="27" customHeight="1">
      <c r="A11" s="357"/>
      <c r="B11" s="362"/>
      <c r="C11" s="362"/>
      <c r="D11" s="362"/>
      <c r="E11" s="362"/>
      <c r="F11" s="362"/>
      <c r="G11" s="34"/>
    </row>
    <row r="12" spans="1:7">
      <c r="A12" s="357"/>
      <c r="B12" s="42" t="s">
        <v>871</v>
      </c>
      <c r="C12" s="43" t="s">
        <v>874</v>
      </c>
      <c r="D12" s="213" t="s">
        <v>875</v>
      </c>
      <c r="E12" s="43" t="s">
        <v>628</v>
      </c>
      <c r="F12" s="43" t="s">
        <v>629</v>
      </c>
      <c r="G12" s="34"/>
    </row>
    <row r="13" spans="1:7" ht="20.399999999999999">
      <c r="A13" s="357"/>
      <c r="B13" s="2">
        <v>1</v>
      </c>
      <c r="C13" s="37" t="s">
        <v>1111</v>
      </c>
      <c r="D13" s="39" t="s">
        <v>899</v>
      </c>
      <c r="E13" s="196" t="s">
        <v>876</v>
      </c>
      <c r="F13" s="196"/>
      <c r="G13" s="34"/>
    </row>
    <row r="14" spans="1:7" ht="30.6">
      <c r="A14" s="357"/>
      <c r="B14" s="2">
        <v>2</v>
      </c>
      <c r="C14" s="37" t="s">
        <v>1111</v>
      </c>
      <c r="D14" s="39" t="s">
        <v>1048</v>
      </c>
      <c r="E14" s="196" t="s">
        <v>540</v>
      </c>
      <c r="F14" s="196" t="s">
        <v>541</v>
      </c>
      <c r="G14" s="34"/>
    </row>
    <row r="15" spans="1:7" ht="89.1" customHeight="1">
      <c r="A15" s="357"/>
      <c r="B15" s="363">
        <v>2.0099999999999998</v>
      </c>
      <c r="C15" s="354" t="s">
        <v>1111</v>
      </c>
      <c r="D15" s="366" t="s">
        <v>2358</v>
      </c>
      <c r="E15" s="197" t="s">
        <v>630</v>
      </c>
      <c r="F15" s="197" t="s">
        <v>633</v>
      </c>
      <c r="G15" s="34"/>
    </row>
    <row r="16" spans="1:7" ht="99" customHeight="1">
      <c r="A16" s="357"/>
      <c r="B16" s="364"/>
      <c r="C16" s="355"/>
      <c r="D16" s="367"/>
      <c r="E16" s="198"/>
      <c r="F16" s="198" t="s">
        <v>631</v>
      </c>
      <c r="G16" s="34"/>
    </row>
    <row r="17" spans="1:7" ht="63" customHeight="1">
      <c r="A17" s="357"/>
      <c r="B17" s="365"/>
      <c r="C17" s="356"/>
      <c r="D17" s="368"/>
      <c r="E17" s="37"/>
      <c r="F17" s="37" t="s">
        <v>632</v>
      </c>
      <c r="G17" s="34"/>
    </row>
    <row r="18" spans="1:7" ht="117" customHeight="1">
      <c r="A18" s="357"/>
      <c r="B18" s="363">
        <v>2.02</v>
      </c>
      <c r="C18" s="354" t="s">
        <v>1111</v>
      </c>
      <c r="D18" s="366" t="s">
        <v>2359</v>
      </c>
      <c r="E18" s="197" t="s">
        <v>449</v>
      </c>
      <c r="F18" s="197" t="s">
        <v>535</v>
      </c>
      <c r="G18" s="34"/>
    </row>
    <row r="19" spans="1:7" ht="71.099999999999994" customHeight="1">
      <c r="A19" s="357"/>
      <c r="B19" s="364"/>
      <c r="C19" s="355"/>
      <c r="D19" s="367"/>
      <c r="E19" s="198" t="s">
        <v>539</v>
      </c>
      <c r="F19" s="198" t="s">
        <v>450</v>
      </c>
      <c r="G19" s="34"/>
    </row>
    <row r="20" spans="1:7" ht="90.75" customHeight="1">
      <c r="A20" s="357"/>
      <c r="B20" s="364"/>
      <c r="C20" s="355"/>
      <c r="D20" s="367"/>
      <c r="E20" s="198"/>
      <c r="F20" s="198" t="s">
        <v>635</v>
      </c>
      <c r="G20" s="34"/>
    </row>
    <row r="21" spans="1:7" ht="74.25" customHeight="1">
      <c r="A21" s="357"/>
      <c r="B21" s="365"/>
      <c r="C21" s="356"/>
      <c r="D21" s="368"/>
      <c r="E21" s="37"/>
      <c r="F21" s="37" t="s">
        <v>634</v>
      </c>
      <c r="G21" s="34"/>
    </row>
    <row r="22" spans="1:7" ht="90" customHeight="1">
      <c r="A22" s="357"/>
      <c r="B22" s="348">
        <v>2.0299999999999998</v>
      </c>
      <c r="C22" s="348" t="s">
        <v>845</v>
      </c>
      <c r="D22" s="351" t="s">
        <v>2360</v>
      </c>
      <c r="E22" s="354" t="s">
        <v>447</v>
      </c>
      <c r="F22" s="197" t="s">
        <v>470</v>
      </c>
      <c r="G22" s="34"/>
    </row>
    <row r="23" spans="1:7" ht="109.5" customHeight="1">
      <c r="A23" s="357"/>
      <c r="B23" s="349"/>
      <c r="C23" s="349"/>
      <c r="D23" s="352"/>
      <c r="E23" s="355"/>
      <c r="F23" s="198" t="s">
        <v>846</v>
      </c>
      <c r="G23" s="34"/>
    </row>
    <row r="24" spans="1:7" ht="74.25" customHeight="1">
      <c r="A24" s="357"/>
      <c r="B24" s="350"/>
      <c r="C24" s="350"/>
      <c r="D24" s="353"/>
      <c r="E24" s="356"/>
      <c r="F24" s="37" t="s">
        <v>446</v>
      </c>
      <c r="G24" s="34"/>
    </row>
    <row r="25" spans="1:7" ht="72" customHeight="1">
      <c r="A25" s="357"/>
      <c r="B25" s="2" t="s">
        <v>468</v>
      </c>
      <c r="C25" s="37" t="s">
        <v>469</v>
      </c>
      <c r="D25" s="39" t="s">
        <v>2361</v>
      </c>
      <c r="E25" s="37" t="s">
        <v>2356</v>
      </c>
      <c r="F25" s="37" t="s">
        <v>471</v>
      </c>
      <c r="G25" s="34"/>
    </row>
    <row r="26" spans="1:7" ht="98.1" customHeight="1">
      <c r="A26" s="357"/>
      <c r="B26" s="369">
        <v>3</v>
      </c>
      <c r="C26" s="363" t="s">
        <v>72</v>
      </c>
      <c r="D26" s="366" t="s">
        <v>2362</v>
      </c>
      <c r="E26" s="354" t="s">
        <v>0</v>
      </c>
      <c r="F26" s="197" t="s">
        <v>66</v>
      </c>
      <c r="G26" s="34"/>
    </row>
    <row r="27" spans="1:7" ht="90" customHeight="1">
      <c r="A27" s="357"/>
      <c r="B27" s="370"/>
      <c r="C27" s="364"/>
      <c r="D27" s="367"/>
      <c r="E27" s="355"/>
      <c r="F27" s="198" t="s">
        <v>61</v>
      </c>
      <c r="G27" s="34"/>
    </row>
    <row r="28" spans="1:7" ht="19.350000000000001" customHeight="1">
      <c r="A28" s="357"/>
      <c r="B28" s="370"/>
      <c r="C28" s="364"/>
      <c r="D28" s="367"/>
      <c r="E28" s="355"/>
      <c r="F28" s="198" t="s">
        <v>62</v>
      </c>
      <c r="G28" s="34"/>
    </row>
    <row r="29" spans="1:7" ht="74.55" customHeight="1">
      <c r="A29" s="357"/>
      <c r="B29" s="370"/>
      <c r="C29" s="364"/>
      <c r="D29" s="367"/>
      <c r="E29" s="355"/>
      <c r="F29" s="198" t="s">
        <v>63</v>
      </c>
      <c r="G29" s="34"/>
    </row>
    <row r="30" spans="1:7" ht="62.55" customHeight="1">
      <c r="A30" s="357"/>
      <c r="B30" s="370"/>
      <c r="C30" s="364"/>
      <c r="D30" s="367"/>
      <c r="E30" s="355"/>
      <c r="F30" s="198" t="s">
        <v>64</v>
      </c>
      <c r="G30" s="34"/>
    </row>
    <row r="31" spans="1:7" ht="81" customHeight="1">
      <c r="A31" s="357"/>
      <c r="B31" s="370"/>
      <c r="C31" s="364"/>
      <c r="D31" s="367"/>
      <c r="E31" s="355"/>
      <c r="F31" s="198" t="s">
        <v>65</v>
      </c>
      <c r="G31" s="34"/>
    </row>
    <row r="32" spans="1:7" ht="48.75" customHeight="1">
      <c r="A32" s="357"/>
      <c r="B32" s="370"/>
      <c r="C32" s="364"/>
      <c r="D32" s="367"/>
      <c r="E32" s="355"/>
      <c r="F32" s="198" t="s">
        <v>68</v>
      </c>
      <c r="G32" s="34"/>
    </row>
    <row r="33" spans="1:7" ht="98.55" customHeight="1">
      <c r="A33" s="357"/>
      <c r="B33" s="370"/>
      <c r="C33" s="364"/>
      <c r="D33" s="367"/>
      <c r="E33" s="355"/>
      <c r="F33" s="198" t="s">
        <v>67</v>
      </c>
      <c r="G33" s="34"/>
    </row>
    <row r="34" spans="1:7" ht="89.1" customHeight="1">
      <c r="A34" s="357"/>
      <c r="B34" s="370"/>
      <c r="C34" s="364"/>
      <c r="D34" s="367"/>
      <c r="E34" s="355"/>
      <c r="F34" s="198" t="s">
        <v>69</v>
      </c>
      <c r="G34" s="34"/>
    </row>
    <row r="35" spans="1:7" ht="29.1" customHeight="1">
      <c r="A35" s="357"/>
      <c r="B35" s="370"/>
      <c r="C35" s="364"/>
      <c r="D35" s="367"/>
      <c r="E35" s="355"/>
      <c r="F35" s="198" t="s">
        <v>70</v>
      </c>
      <c r="G35" s="34"/>
    </row>
    <row r="36" spans="1:7" ht="112.2">
      <c r="A36" s="357"/>
      <c r="B36" s="371"/>
      <c r="C36" s="365"/>
      <c r="D36" s="368"/>
      <c r="E36" s="356"/>
      <c r="F36" s="199" t="s">
        <v>71</v>
      </c>
      <c r="G36" s="34"/>
    </row>
    <row r="37" spans="1:7" ht="102">
      <c r="A37" s="357"/>
      <c r="B37" s="171">
        <v>3.01</v>
      </c>
      <c r="C37" s="172" t="s">
        <v>72</v>
      </c>
      <c r="D37" s="39" t="s">
        <v>2363</v>
      </c>
      <c r="E37" s="200" t="s">
        <v>1351</v>
      </c>
      <c r="F37" s="201" t="s">
        <v>1457</v>
      </c>
      <c r="G37" s="34"/>
    </row>
    <row r="38" spans="1:7" ht="81.599999999999994">
      <c r="A38" s="357"/>
      <c r="B38" s="171">
        <v>3.02</v>
      </c>
      <c r="C38" s="172" t="s">
        <v>1384</v>
      </c>
      <c r="D38" s="39" t="s">
        <v>2364</v>
      </c>
      <c r="E38" s="200" t="s">
        <v>1399</v>
      </c>
      <c r="F38" s="201" t="s">
        <v>1458</v>
      </c>
      <c r="G38" s="34"/>
    </row>
    <row r="39" spans="1:7" ht="81.599999999999994">
      <c r="A39" s="357"/>
      <c r="B39" s="182">
        <v>4</v>
      </c>
      <c r="C39" s="181" t="s">
        <v>1554</v>
      </c>
      <c r="D39" s="39" t="s">
        <v>2365</v>
      </c>
      <c r="E39" s="37" t="s">
        <v>2307</v>
      </c>
      <c r="F39" s="37" t="s">
        <v>1555</v>
      </c>
      <c r="G39" s="34"/>
    </row>
    <row r="40" spans="1:7" ht="40.799999999999997">
      <c r="A40" s="357"/>
      <c r="B40" s="171">
        <v>4.01</v>
      </c>
      <c r="C40" s="181" t="s">
        <v>1554</v>
      </c>
      <c r="D40" s="39" t="s">
        <v>2367</v>
      </c>
      <c r="E40" s="37" t="s">
        <v>2321</v>
      </c>
      <c r="F40" s="37" t="s">
        <v>2326</v>
      </c>
      <c r="G40" s="34"/>
    </row>
    <row r="41" spans="1:7" ht="40.799999999999997">
      <c r="A41" s="357"/>
      <c r="B41" s="171" t="s">
        <v>2354</v>
      </c>
      <c r="C41" s="181" t="s">
        <v>1554</v>
      </c>
      <c r="D41" s="39" t="s">
        <v>2366</v>
      </c>
      <c r="E41" s="37" t="s">
        <v>2357</v>
      </c>
      <c r="F41" s="37" t="s">
        <v>2355</v>
      </c>
      <c r="G41" s="34"/>
    </row>
    <row r="42" spans="1:7" ht="40.799999999999997">
      <c r="A42" s="357"/>
      <c r="B42" s="171" t="s">
        <v>2399</v>
      </c>
      <c r="C42" s="181" t="s">
        <v>1554</v>
      </c>
      <c r="D42" s="39" t="s">
        <v>2406</v>
      </c>
      <c r="E42" s="37" t="s">
        <v>2356</v>
      </c>
      <c r="F42" s="37" t="s">
        <v>2400</v>
      </c>
      <c r="G42" s="34"/>
    </row>
    <row r="43" spans="1:7" ht="112.2">
      <c r="A43" s="357"/>
      <c r="B43" s="193">
        <v>4.0999999999999996</v>
      </c>
      <c r="C43" s="181" t="s">
        <v>2405</v>
      </c>
      <c r="D43" s="194">
        <v>42867</v>
      </c>
      <c r="E43" s="202" t="s">
        <v>2408</v>
      </c>
      <c r="F43" s="37" t="s">
        <v>2407</v>
      </c>
      <c r="G43" s="34"/>
    </row>
    <row r="44" spans="1:7" ht="71.400000000000006">
      <c r="A44" s="357"/>
      <c r="B44" s="193">
        <v>4.2</v>
      </c>
      <c r="C44" s="181" t="s">
        <v>2405</v>
      </c>
      <c r="D44" s="194">
        <v>42704</v>
      </c>
      <c r="E44" s="202" t="s">
        <v>2625</v>
      </c>
      <c r="F44" s="37" t="s">
        <v>2598</v>
      </c>
      <c r="G44" s="34"/>
    </row>
    <row r="45" spans="1:7" ht="132.6">
      <c r="A45" s="357"/>
      <c r="B45" s="243">
        <v>5</v>
      </c>
      <c r="C45" s="181" t="s">
        <v>2405</v>
      </c>
      <c r="D45" s="194">
        <v>42867</v>
      </c>
      <c r="E45" s="202" t="s">
        <v>13032</v>
      </c>
      <c r="F45" s="37" t="s">
        <v>12754</v>
      </c>
      <c r="G45" s="34"/>
    </row>
    <row r="46" spans="1:7" ht="30.6">
      <c r="A46" s="357"/>
      <c r="B46" s="193">
        <v>5.01</v>
      </c>
      <c r="C46" s="181" t="s">
        <v>2405</v>
      </c>
      <c r="D46" s="194">
        <v>42907</v>
      </c>
      <c r="E46" s="202" t="s">
        <v>13052</v>
      </c>
      <c r="F46" s="37" t="s">
        <v>12754</v>
      </c>
      <c r="G46" s="34"/>
    </row>
    <row r="47" spans="1:7" ht="61.2">
      <c r="A47" s="357"/>
      <c r="B47" s="193">
        <v>5.0999999999999996</v>
      </c>
      <c r="C47" s="181" t="s">
        <v>2405</v>
      </c>
      <c r="D47" s="194">
        <v>43070</v>
      </c>
      <c r="E47" s="202" t="s">
        <v>13247</v>
      </c>
      <c r="F47" s="37" t="s">
        <v>13248</v>
      </c>
      <c r="G47" s="34"/>
    </row>
    <row r="48" spans="1:7" ht="51">
      <c r="A48" s="357"/>
      <c r="B48" s="193">
        <v>5.1100000000000003</v>
      </c>
      <c r="C48" s="181" t="s">
        <v>13489</v>
      </c>
      <c r="D48" s="194">
        <v>43217</v>
      </c>
      <c r="E48" s="202" t="s">
        <v>13617</v>
      </c>
      <c r="F48" s="37" t="s">
        <v>13523</v>
      </c>
      <c r="G48" s="34"/>
    </row>
    <row r="49" spans="1:7" ht="51">
      <c r="A49" s="357"/>
      <c r="B49" s="193">
        <v>5.12</v>
      </c>
      <c r="C49" s="181" t="s">
        <v>13489</v>
      </c>
      <c r="D49" s="194">
        <v>43581</v>
      </c>
      <c r="E49" s="202" t="s">
        <v>13617</v>
      </c>
      <c r="F49" s="37" t="s">
        <v>14191</v>
      </c>
      <c r="G49" s="34"/>
    </row>
    <row r="50" spans="1:7" ht="71.400000000000006">
      <c r="A50" s="357"/>
      <c r="B50" s="243">
        <v>6</v>
      </c>
      <c r="C50" s="181" t="s">
        <v>13489</v>
      </c>
      <c r="D50" s="194">
        <v>43964</v>
      </c>
      <c r="E50" s="202" t="s">
        <v>14433</v>
      </c>
      <c r="F50" s="37" t="s">
        <v>14204</v>
      </c>
      <c r="G50" s="34"/>
    </row>
    <row r="51" spans="1:7" ht="40.799999999999997">
      <c r="A51" s="357"/>
      <c r="B51" s="193">
        <v>6.01</v>
      </c>
      <c r="C51" s="181" t="s">
        <v>13489</v>
      </c>
      <c r="D51" s="194">
        <v>43970</v>
      </c>
      <c r="E51" s="202" t="s">
        <v>15503</v>
      </c>
      <c r="F51" s="202" t="s">
        <v>14204</v>
      </c>
      <c r="G51" s="34"/>
    </row>
    <row r="52" spans="1:7" ht="13.2" thickBot="1">
      <c r="A52" s="358"/>
      <c r="B52" s="359" t="str">
        <f ca="1">OFFSET(L!$C$1,MATCH("General"&amp;"Cpy",L!$A:$A,0)-1,SL,,)</f>
        <v>© 2020 Responsible Minerals Initiative. All rights reserved.</v>
      </c>
      <c r="C52" s="359"/>
      <c r="D52" s="359"/>
      <c r="E52" s="359"/>
      <c r="F52" s="359"/>
      <c r="G52" s="35"/>
    </row>
    <row r="53" spans="1:7" ht="13.2"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C26:C36"/>
    <mergeCell ref="B26:B36"/>
    <mergeCell ref="B22:B24"/>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s>
  <phoneticPr fontId="97"/>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1640625" defaultRowHeight="12.6"/>
  <cols>
    <col min="1" max="1" width="20.6328125" style="76" customWidth="1"/>
    <col min="2" max="2" width="57.1796875" style="76" customWidth="1"/>
    <col min="3" max="16384" width="8.8164062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honeticPr fontId="97"/>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1640625" defaultRowHeight="12.6"/>
  <cols>
    <col min="1" max="1" width="11.1796875" customWidth="1"/>
    <col min="2" max="2" width="25.726562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honeticPr fontId="97"/>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1640625" defaultRowHeight="12.6"/>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2.4">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0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6.2">
      <c r="A5" s="125"/>
      <c r="B5" s="114"/>
    </row>
    <row r="6" spans="1:2" ht="32.4">
      <c r="A6" s="124" t="str">
        <f ca="1">OFFSET(L!$C$1,MATCH("Instructions"&amp;ADDRESS(ROW(),COLUMN(),4),L!$A:$A,0)-1,SL,,)</f>
        <v>Instructions for completing Company Information questions (rows 8 - 22).
Provide comments in ENGLISH only</v>
      </c>
      <c r="B6" s="114" t="s">
        <v>1327</v>
      </c>
    </row>
    <row r="7" spans="1:2" ht="16.2">
      <c r="A7" s="294" t="str">
        <f ca="1">OFFSET(L!$C$1,MATCH("Instructions"&amp;ADDRESS(ROW(),COLUMN(),4),L!$A:$A,0)-1,SL,,)</f>
        <v xml:space="preserve">Note:  Entries with (*) are mandatory fields. </v>
      </c>
      <c r="B7" s="114"/>
    </row>
    <row r="8" spans="1:2" ht="32.4">
      <c r="A8" s="121" t="str">
        <f ca="1">OFFSET(L!$C$1,MATCH("Instructions"&amp;ADDRESS(ROW(),COLUMN(),4),L!$A:$A,0)-1,SL,,)</f>
        <v>1. Insert your company's Legal Name.  Please do not use abbreviations. In this field you have the option to add other commercial names, DBAs, etc.</v>
      </c>
      <c r="B8" s="114"/>
    </row>
    <row r="9" spans="1:2" ht="310.0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2.4">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2.4">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6.2">
      <c r="A15" s="121" t="str">
        <f ca="1">OFFSET(L!$C$1,MATCH("Instructions"&amp;ADDRESS(ROW(),COLUMN(),4),L!$A:$A,0)-1,SL,,)</f>
        <v>8. Insert the telephone number for the contact. This field is mandatory.</v>
      </c>
      <c r="B15" s="114"/>
    </row>
    <row r="16" spans="1:2" ht="48.6">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6.2">
      <c r="A17" s="121" t="str">
        <f ca="1">OFFSET(L!$C$1,MATCH("Instructions"&amp;ADDRESS(ROW(),COLUMN(),4),L!$A:$A,0)-1,SL,,)</f>
        <v>10. Insert the title for the Authorizing person. This field is optional.</v>
      </c>
      <c r="B17" s="114"/>
    </row>
    <row r="18" spans="1:2" ht="32.4">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6.2">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2.4">
      <c r="A21" s="121" t="str">
        <f ca="1">OFFSET(L!$C$1,MATCH("Instructions"&amp;ADDRESS(ROW(),COLUMN(),4),L!$A:$A,0)-1,SL,,)</f>
        <v xml:space="preserve">14. As an example, the user may save the file name as:  companyname-date.xls (date as YYYY-MM-DD).  </v>
      </c>
      <c r="B21" s="114" t="s">
        <v>1327</v>
      </c>
    </row>
    <row r="22" spans="1:2" ht="16.2">
      <c r="A22" s="125"/>
      <c r="B22" s="114"/>
    </row>
    <row r="23" spans="1:2" ht="32.4">
      <c r="A23" s="124" t="str">
        <f ca="1">OFFSET(L!$C$1,MATCH("Instructions"&amp;ADDRESS(ROW(),COLUMN(),4),L!$A:$A,0)-1,SL,,)</f>
        <v>Instructions for completing the eight Due Diligence Questions (rows 24 - 71).
Provide answers in ENGLISH only</v>
      </c>
      <c r="B23" s="114" t="s">
        <v>1327</v>
      </c>
    </row>
    <row r="24" spans="1:2" ht="64.8">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4.8">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2.4">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29.6">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94.4">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81">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4.8">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6.2">
      <c r="A35" s="121" t="str">
        <f ca="1">OFFSET(L!$C$1,MATCH("Instructions"&amp;ADDRESS(ROW(),COLUMN(),4),L!$A:$A,0)-1,SL,,)</f>
        <v>Provide comments in the Comment sections as required to clarify your responses.</v>
      </c>
      <c r="B35" s="114"/>
    </row>
    <row r="36" spans="1:2" ht="16.2">
      <c r="A36" s="125"/>
      <c r="B36" s="114"/>
    </row>
    <row r="37" spans="1:2" ht="48.6">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45.80000000000001">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4.8">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4.8">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81">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62">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62">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45.80000000000001">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9.6">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6.2">
      <c r="A47" s="125"/>
      <c r="B47" s="114"/>
    </row>
    <row r="48" spans="1:2" ht="32.4">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4.8">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2.4">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16.2">
      <c r="A52" s="121" t="str">
        <f ca="1">OFFSET(L!$C$1,MATCH("Instructions"&amp;ADDRESS(ROW(),COLUMN(),4),L!$A:$A,0)-1,SL,,)</f>
        <v>2. Metal (*)   -   Use the pull down menu to select the metal for which you are entering smelter information.  This field is mandatory.</v>
      </c>
      <c r="B52" s="114"/>
    </row>
    <row r="53" spans="1:2" ht="64.8">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4.8">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81">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4.8">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4.8">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4.8">
      <c r="A58" s="121" t="str">
        <f ca="1">OFFSET(L!$C$1,MATCH("Instructions"&amp;ADDRESS(ROW(),COLUMN(),4),L!$A:$A,0)-1,SL,,)</f>
        <v>8. Smelter Street -  Provide the street name on which the smelter is located. This field is optional.</v>
      </c>
      <c r="B58" s="114" t="s">
        <v>1326</v>
      </c>
    </row>
    <row r="59" spans="1:2" ht="32.4">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62">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4.8">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8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7.2">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7.2">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6.2">
      <c r="A67" s="126"/>
      <c r="B67" s="114"/>
    </row>
    <row r="68" spans="1:2" s="28" customFormat="1" ht="34.5" customHeight="1">
      <c r="A68" s="124" t="str">
        <f ca="1">OFFSET(L!$C$1,MATCH("Instructions"&amp;ADDRESS(ROW(),COLUMN(),4),L!$A:$A,0)-1,SL,,)</f>
        <v>TERMS AND CONDITIONS</v>
      </c>
      <c r="B68" s="114"/>
    </row>
    <row r="69" spans="1:2" s="28" customFormat="1" ht="16.2">
      <c r="A69" s="126"/>
      <c r="B69" s="114"/>
    </row>
    <row r="70" spans="1:2" ht="64.8">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29.6">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81">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2.4">
      <c r="A74" s="121"/>
      <c r="B74" s="114" t="s">
        <v>451</v>
      </c>
    </row>
    <row r="75" spans="1:2" ht="16.2">
      <c r="A75" s="121" t="str">
        <f ca="1">OFFSET(L!$C$1,MATCH("General"&amp;"Cpy",L!$A:$A,0)-1,SL,,)</f>
        <v>© 2020 Responsible Minerals Initiative. All rights reserved.</v>
      </c>
      <c r="B75" s="115"/>
    </row>
    <row r="76" spans="1:2" ht="16.2">
      <c r="A76" s="122" t="s">
        <v>1058</v>
      </c>
      <c r="B76" s="115"/>
    </row>
    <row r="77" spans="1:2" ht="16.8"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phoneticPr fontId="97"/>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defaultColWidth="8.81640625" defaultRowHeight="12.6"/>
  <cols>
    <col min="1" max="1" width="1.6328125" style="113" customWidth="1"/>
    <col min="2" max="2" width="35.6328125" style="113" customWidth="1"/>
    <col min="3" max="3" width="105.6328125" style="113" customWidth="1"/>
    <col min="4" max="5" width="1.6328125" style="113" customWidth="1"/>
    <col min="6" max="6" width="4.6328125" style="113" customWidth="1"/>
    <col min="7" max="7" width="4.81640625" style="113" customWidth="1"/>
    <col min="8" max="16384" width="8.81640625" style="113"/>
  </cols>
  <sheetData>
    <row r="1" spans="1:5" ht="13.2"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4.05"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13.4">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45.80000000000001">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4.8">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8.6">
      <c r="A10" s="87"/>
      <c r="B10" s="74" t="str">
        <f ca="1">OFFSET(L!$C$1,MATCH("Definitions"&amp;ADDRESS(ROW(),COLUMN(),4),L!$A:$A,0)-1,SL,,)</f>
        <v>DRC</v>
      </c>
      <c r="C10" s="74" t="str">
        <f ca="1">OFFSET(L!$C$1,MATCH("Definitions"&amp;ADDRESS(ROW(),COLUMN(),4),L!$A:$A,0)-1,SL,,)</f>
        <v>Democratic Republic of Congo</v>
      </c>
      <c r="D10" s="376"/>
      <c r="E10" s="128" t="s">
        <v>1335</v>
      </c>
    </row>
    <row r="11" spans="1:5" ht="64.8"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4.8">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29.6">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4.8">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94.4">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62">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6.2">
      <c r="A19" s="87"/>
      <c r="B19" s="74" t="str">
        <f ca="1">OFFSET(L!$C$1,MATCH("Definitions"&amp;ADDRESS(ROW(),COLUMN(),4),L!$A:$A,0)-1,SL,,)</f>
        <v>OECD</v>
      </c>
      <c r="C19" s="74" t="str">
        <f ca="1">OFFSET(L!$C$1,MATCH("Definitions"&amp;ADDRESS(ROW(),COLUMN(),4),L!$A:$A,0)-1,SL,,)</f>
        <v>Organisation for Economic Co-operation and Development</v>
      </c>
      <c r="D19" s="376"/>
      <c r="E19" s="128"/>
    </row>
    <row r="20" spans="1:5" ht="32.4">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6.2">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4.8">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45.8000000000000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81">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64.8">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4.8">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6.94999999999999"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6.2">
      <c r="A32" s="87"/>
      <c r="B32" s="375" t="str">
        <f ca="1">OFFSET(L!$C$1,MATCH("General"&amp;"Cpy",L!$A:$A,0)-1,SL,,)</f>
        <v>© 2020 Responsible Minerals Initiative. All rights reserved.</v>
      </c>
      <c r="C32" s="375"/>
      <c r="D32" s="376"/>
      <c r="E32" s="128"/>
    </row>
    <row r="33" spans="1:4" ht="13.2" thickBot="1">
      <c r="A33" s="88"/>
      <c r="B33" s="185"/>
      <c r="C33" s="185"/>
      <c r="D33" s="377"/>
    </row>
    <row r="34" spans="1:4" ht="13.2" thickTop="1"/>
  </sheetData>
  <sheetProtection algorithmName="SHA-512" hashValue="hpb/agFq+Zgl1j5iHsTdjHoQyFSA+OZOR21URiyD6TDaL60ezhptqPd7lp6xCnU/JtNdmwdQ4ajctsD3wHnhwg==" saltValue="DJ2XUoPpkHVCQw9mv1ZHgg==" spinCount="100000" sheet="1" objects="1" scenarios="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honeticPr fontId="97"/>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PageLayoutView="70" workbookViewId="0">
      <selection sqref="A1:K1"/>
    </sheetView>
  </sheetViews>
  <sheetFormatPr defaultColWidth="8.81640625" defaultRowHeight="12.6"/>
  <cols>
    <col min="1" max="1" width="1.81640625" customWidth="1"/>
    <col min="2" max="2" width="83.1796875" customWidth="1"/>
    <col min="3" max="3" width="1.6328125" customWidth="1"/>
    <col min="4" max="5" width="16.6328125" customWidth="1"/>
    <col min="6" max="6" width="1.6328125" customWidth="1"/>
    <col min="7" max="9" width="16.6328125" customWidth="1"/>
    <col min="10" max="10" width="17.81640625" customWidth="1"/>
    <col min="11" max="11" width="1.6328125" customWidth="1"/>
    <col min="12" max="12" width="3.6328125" style="113" hidden="1" customWidth="1"/>
    <col min="13" max="15" width="4.81640625" style="113" hidden="1" customWidth="1"/>
    <col min="16" max="23" width="9.1796875" hidden="1" customWidth="1"/>
    <col min="24" max="24" width="9.1796875" customWidth="1"/>
  </cols>
  <sheetData>
    <row r="1" spans="1:34" ht="16.8" thickTop="1">
      <c r="A1" s="400"/>
      <c r="B1" s="401"/>
      <c r="C1" s="401"/>
      <c r="D1" s="401"/>
      <c r="E1" s="401"/>
      <c r="F1" s="401"/>
      <c r="G1" s="401"/>
      <c r="H1" s="401"/>
      <c r="I1" s="401"/>
      <c r="J1" s="401"/>
      <c r="K1" s="402"/>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03" t="str">
        <f ca="1">OFFSET(L!$C$1,MATCH("Declaration"&amp;ADDRESS(ROW(),COLUMN(),4),L!$A:$A,0)-1,SL,,)</f>
        <v>Conflict Minerals Reporting Template (CMRT)</v>
      </c>
      <c r="E2" s="404"/>
      <c r="F2" s="404"/>
      <c r="G2" s="404"/>
      <c r="H2" s="404"/>
      <c r="I2" s="404"/>
      <c r="J2" s="405"/>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3"/>
      <c r="G3" s="413"/>
      <c r="H3" s="413"/>
      <c r="I3" s="184"/>
      <c r="J3" s="168" t="s">
        <v>15505</v>
      </c>
      <c r="K3" s="47"/>
      <c r="L3" s="139"/>
      <c r="M3" s="130"/>
      <c r="N3" s="130"/>
      <c r="O3" s="131"/>
      <c r="P3" s="144">
        <f>MATCH($D$3,LN,0)</f>
        <v>1</v>
      </c>
    </row>
    <row r="4" spans="1:34" ht="16.2">
      <c r="A4" s="45"/>
      <c r="B4" s="409" t="str">
        <f ca="1">OFFSET(L!$C$1,MATCH("Declaration"&amp;ADDRESS(ROW(),COLUMN(),4),L!$A:$A,0)-1,SL,,)</f>
        <v>The purpose of this document is to collect sourcing information on tin, tantalum, tungsten and gold used in products</v>
      </c>
      <c r="C4" s="409"/>
      <c r="D4" s="409"/>
      <c r="E4" s="409"/>
      <c r="F4" s="409"/>
      <c r="G4" s="409"/>
      <c r="H4" s="409"/>
      <c r="I4" s="414" t="str">
        <f ca="1">OFFSET(L!$C$1,MATCH("Declaration"&amp;ADDRESS(ROW(),COLUMN(),4),L!$A:$A,0)-1,SL,,)</f>
        <v>Link to Terms &amp; Conditions</v>
      </c>
      <c r="J4" s="414"/>
      <c r="K4" s="47"/>
      <c r="L4" s="141"/>
      <c r="M4" s="130"/>
      <c r="N4" s="130"/>
      <c r="O4" s="131"/>
      <c r="P4" s="12"/>
      <c r="Q4" s="12"/>
      <c r="R4" s="12"/>
      <c r="S4" s="12"/>
      <c r="T4" s="12"/>
      <c r="U4" s="12"/>
      <c r="V4" s="12"/>
      <c r="W4" s="12"/>
      <c r="X4" s="12"/>
      <c r="Y4" s="12"/>
      <c r="Z4" s="12"/>
      <c r="AA4" s="12"/>
      <c r="AB4" s="12"/>
      <c r="AC4" s="12"/>
      <c r="AD4" s="12"/>
      <c r="AE4" s="12"/>
      <c r="AF4" s="12"/>
      <c r="AG4" s="12"/>
      <c r="AH4" s="12"/>
    </row>
    <row r="5" spans="1:34" ht="16.2">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2.4">
      <c r="A6" s="45"/>
      <c r="B6" s="409" t="str">
        <f ca="1">OFFSET(L!$C$1,MATCH("Declaration"&amp;ADDRESS(ROW(),COLUMN(),4),L!$A:$A,0)-1,SL,,)</f>
        <v>Mandatory fields are noted with an asterisk (*).  Consult the instructions tab for guidance on how to answer each question.</v>
      </c>
      <c r="C6" s="409"/>
      <c r="D6" s="409"/>
      <c r="E6" s="409"/>
      <c r="F6" s="409"/>
      <c r="G6" s="409"/>
      <c r="H6" s="409"/>
      <c r="I6" s="409"/>
      <c r="J6" s="409"/>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6.2">
      <c r="A7" s="45"/>
      <c r="B7" s="418" t="str">
        <f ca="1">OFFSET(L!$C$1,MATCH("Declaration"&amp;ADDRESS(ROW(),COLUMN(),4),L!$A:$A,0)-1,SL,,)</f>
        <v>Company Information</v>
      </c>
      <c r="C7" s="418"/>
      <c r="D7" s="418"/>
      <c r="E7" s="418"/>
      <c r="F7" s="418"/>
      <c r="G7" s="418"/>
      <c r="H7" s="418"/>
      <c r="I7" s="418"/>
      <c r="J7" s="418"/>
      <c r="K7" s="47"/>
      <c r="L7" s="141"/>
      <c r="M7" s="130"/>
      <c r="N7" s="130"/>
      <c r="O7" s="131"/>
      <c r="P7" s="12"/>
      <c r="Q7" s="12"/>
      <c r="R7" s="12"/>
      <c r="S7" s="12"/>
      <c r="T7" s="12"/>
      <c r="U7" s="12"/>
      <c r="V7" s="12"/>
      <c r="W7" s="12"/>
      <c r="X7" s="12"/>
      <c r="Y7" s="12"/>
      <c r="Z7" s="12"/>
      <c r="AA7" s="12"/>
      <c r="AB7" s="12"/>
      <c r="AC7" s="12"/>
      <c r="AD7" s="12"/>
      <c r="AE7" s="12"/>
      <c r="AF7" s="12"/>
      <c r="AG7" s="12"/>
      <c r="AH7" s="12"/>
    </row>
    <row r="8" spans="1:34" ht="16.2">
      <c r="A8" s="49"/>
      <c r="B8" s="86" t="str">
        <f ca="1">OFFSET(L!$C$1,MATCH("Declaration"&amp;ADDRESS(ROW(),COLUMN(),4),L!$A:$A,0)-1,SL,,)</f>
        <v>Company Name (*):</v>
      </c>
      <c r="C8" s="89"/>
      <c r="D8" s="406" t="s">
        <v>15506</v>
      </c>
      <c r="E8" s="407"/>
      <c r="F8" s="407"/>
      <c r="G8" s="407"/>
      <c r="H8" s="407"/>
      <c r="I8" s="407"/>
      <c r="J8" s="408"/>
      <c r="K8" s="50"/>
      <c r="L8" s="141"/>
      <c r="M8" s="130"/>
      <c r="N8" s="130"/>
      <c r="O8" s="131"/>
      <c r="P8" s="12"/>
      <c r="Q8" s="12"/>
      <c r="R8" s="12"/>
      <c r="S8" s="12"/>
      <c r="T8" s="12"/>
      <c r="U8" s="12"/>
      <c r="V8" s="12"/>
      <c r="W8" s="12"/>
      <c r="X8" s="12"/>
      <c r="Y8" s="12"/>
      <c r="Z8" s="12"/>
      <c r="AA8" s="12"/>
      <c r="AB8" s="12"/>
      <c r="AC8" s="12"/>
      <c r="AD8" s="12"/>
      <c r="AE8" s="12"/>
      <c r="AF8" s="12"/>
      <c r="AG8" s="12"/>
      <c r="AH8" s="12"/>
    </row>
    <row r="9" spans="1:34" ht="16.2">
      <c r="A9" s="49"/>
      <c r="B9" s="86" t="str">
        <f ca="1">OFFSET(L!$C$1,MATCH("Declaration"&amp;ADDRESS(ROW(),COLUMN(),4),L!$A:$A,0)-1,SL,,)</f>
        <v>Declaration Scope or Class (*):</v>
      </c>
      <c r="C9" s="89"/>
      <c r="D9" s="415" t="s">
        <v>504</v>
      </c>
      <c r="E9" s="416"/>
      <c r="F9" s="416"/>
      <c r="G9" s="417"/>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549999999999997" customHeight="1">
      <c r="A10" s="49"/>
      <c r="B10" s="419" t="str">
        <f ca="1">OFFSET(L!$C$1,MATCH("Declaration"&amp;ADDRESS(ROW(),COLUMN(),4)&amp;LEFT($D$9,1),L!$A:$A,0)-1,SL,,)</f>
        <v>Description of Scope:</v>
      </c>
      <c r="C10" s="151"/>
      <c r="D10" s="410"/>
      <c r="E10" s="411"/>
      <c r="F10" s="411"/>
      <c r="G10" s="411"/>
      <c r="H10" s="411"/>
      <c r="I10" s="411"/>
      <c r="J10" s="412"/>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2">
      <c r="A11" s="49"/>
      <c r="B11" s="420"/>
      <c r="C11" s="151"/>
      <c r="D11" s="429" t="str">
        <f ca="1">IF(D9=Q9,OFFSET(L!$C$1,MATCH("Declaration"&amp;ADDRESS(ROW(),COLUMN(),4),L!$A:$A,0)-1,SL,,),"")</f>
        <v/>
      </c>
      <c r="E11" s="430"/>
      <c r="F11" s="430"/>
      <c r="G11" s="430"/>
      <c r="H11" s="430"/>
      <c r="I11" s="430"/>
      <c r="J11" s="431"/>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2">
      <c r="A12" s="49"/>
      <c r="B12" s="51" t="str">
        <f ca="1">OFFSET(L!$C$1,MATCH("Declaration"&amp;ADDRESS(ROW(),COLUMN(),4),L!$A:$A,0)-1,SL,,)</f>
        <v>Company Unique ID:</v>
      </c>
      <c r="C12" s="90"/>
      <c r="D12" s="392"/>
      <c r="E12" s="393"/>
      <c r="F12" s="393"/>
      <c r="G12" s="393"/>
      <c r="H12" s="393"/>
      <c r="I12" s="393"/>
      <c r="J12" s="39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2">
      <c r="A13" s="49"/>
      <c r="B13" s="51" t="str">
        <f ca="1">OFFSET(L!$C$1,MATCH("Declaration"&amp;ADDRESS(ROW(),COLUMN(),4),L!$A:$A,0)-1,SL,,)</f>
        <v>Company Unique ID Authority:</v>
      </c>
      <c r="C13" s="90"/>
      <c r="D13" s="392"/>
      <c r="E13" s="393"/>
      <c r="F13" s="393"/>
      <c r="G13" s="393"/>
      <c r="H13" s="393"/>
      <c r="I13" s="393"/>
      <c r="J13" s="39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2">
      <c r="A14" s="49"/>
      <c r="B14" s="51" t="str">
        <f ca="1">OFFSET(L!$C$1,MATCH("Declaration"&amp;ADDRESS(ROW(),COLUMN(),4),L!$A:$A,0)-1,SL,,)</f>
        <v>Address:</v>
      </c>
      <c r="C14" s="90"/>
      <c r="D14" s="392"/>
      <c r="E14" s="393"/>
      <c r="F14" s="393"/>
      <c r="G14" s="393"/>
      <c r="H14" s="393"/>
      <c r="I14" s="393"/>
      <c r="J14" s="39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2">
      <c r="A15" s="49"/>
      <c r="B15" s="51" t="str">
        <f ca="1">OFFSET(L!$C$1,MATCH("Declaration"&amp;ADDRESS(ROW(),COLUMN(),4),L!$A:$A,0)-1,SL,,)</f>
        <v>Contact Name (*):</v>
      </c>
      <c r="C15" s="90"/>
      <c r="D15" s="392" t="s">
        <v>15507</v>
      </c>
      <c r="E15" s="393"/>
      <c r="F15" s="393"/>
      <c r="G15" s="393"/>
      <c r="H15" s="393"/>
      <c r="I15" s="393"/>
      <c r="J15" s="39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2">
      <c r="A16" s="49"/>
      <c r="B16" s="51" t="str">
        <f ca="1">OFFSET(L!$C$1,MATCH("Declaration"&amp;ADDRESS(ROW(),COLUMN(),4),L!$A:$A,0)-1,SL,,)</f>
        <v>Email – Contact (*):</v>
      </c>
      <c r="C16" s="90"/>
      <c r="D16" s="421" t="s">
        <v>15508</v>
      </c>
      <c r="E16" s="422"/>
      <c r="F16" s="422"/>
      <c r="G16" s="422"/>
      <c r="H16" s="422"/>
      <c r="I16" s="422"/>
      <c r="J16" s="423"/>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2">
      <c r="A17" s="49"/>
      <c r="B17" s="51" t="str">
        <f ca="1">OFFSET(L!$C$1,MATCH("Declaration"&amp;ADDRESS(ROW(),COLUMN(),4),L!$A:$A,0)-1,SL,,)</f>
        <v>Phone – Contact (*):</v>
      </c>
      <c r="C17" s="90"/>
      <c r="D17" s="392" t="s">
        <v>15509</v>
      </c>
      <c r="E17" s="393"/>
      <c r="F17" s="393"/>
      <c r="G17" s="393"/>
      <c r="H17" s="393"/>
      <c r="I17" s="393"/>
      <c r="J17" s="39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2">
      <c r="A18" s="49"/>
      <c r="B18" s="51" t="str">
        <f ca="1">OFFSET(L!$C$1,MATCH("Declaration"&amp;ADDRESS(ROW(),COLUMN(),4),L!$A:$A,0)-1,SL,,)</f>
        <v>Authorizer (*):</v>
      </c>
      <c r="C18" s="90"/>
      <c r="D18" s="392" t="s">
        <v>15507</v>
      </c>
      <c r="E18" s="393"/>
      <c r="F18" s="393"/>
      <c r="G18" s="393"/>
      <c r="H18" s="393"/>
      <c r="I18" s="393"/>
      <c r="J18" s="39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2">
      <c r="A19" s="49"/>
      <c r="B19" s="51" t="str">
        <f ca="1">OFFSET(L!$C$1,MATCH("Declaration"&amp;ADDRESS(ROW(),COLUMN(),4),L!$A:$A,0)-1,SL,,)</f>
        <v>Title - Authorizer:</v>
      </c>
      <c r="C19" s="90"/>
      <c r="D19" s="392" t="s">
        <v>15510</v>
      </c>
      <c r="E19" s="393"/>
      <c r="F19" s="393"/>
      <c r="G19" s="393"/>
      <c r="H19" s="393"/>
      <c r="I19" s="393"/>
      <c r="J19" s="39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2">
      <c r="A20" s="49"/>
      <c r="B20" s="51" t="str">
        <f ca="1">OFFSET(L!$C$1,MATCH("Declaration"&amp;ADDRESS(ROW(),COLUMN(),4),L!$A:$A,0)-1,SL,,)</f>
        <v>Email - Authorizer (*):</v>
      </c>
      <c r="C20" s="90"/>
      <c r="D20" s="421" t="s">
        <v>15508</v>
      </c>
      <c r="E20" s="422"/>
      <c r="F20" s="422"/>
      <c r="G20" s="422"/>
      <c r="H20" s="422"/>
      <c r="I20" s="422"/>
      <c r="J20" s="423"/>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2">
      <c r="A21" s="49"/>
      <c r="B21" s="51" t="str">
        <f ca="1">OFFSET(L!$C$1,MATCH("Declaration"&amp;ADDRESS(ROW(),COLUMN(),4),L!$A:$A,0)-1,SL,,)</f>
        <v>Phone - Authorizer:</v>
      </c>
      <c r="C21" s="163"/>
      <c r="D21" s="386" t="s">
        <v>15509</v>
      </c>
      <c r="E21" s="387"/>
      <c r="F21" s="387"/>
      <c r="G21" s="387"/>
      <c r="H21" s="387"/>
      <c r="I21" s="387"/>
      <c r="J21" s="388"/>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399999999999999">
      <c r="A22" s="49"/>
      <c r="B22" s="51" t="str">
        <f ca="1">OFFSET(L!$C$1,MATCH("Declaration"&amp;ADDRESS(ROW(),COLUMN(),4),L!$A:$A,0)-1,SL,,)</f>
        <v>Effective Date (*):</v>
      </c>
      <c r="C22" s="91"/>
      <c r="D22" s="389">
        <v>44043</v>
      </c>
      <c r="E22" s="390"/>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399999999999999">
      <c r="A23" s="52"/>
      <c r="B23" s="92"/>
      <c r="C23" s="20"/>
      <c r="D23" s="426"/>
      <c r="E23" s="426"/>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2">
      <c r="A24" s="53"/>
      <c r="B24" s="391" t="str">
        <f ca="1">OFFSET(L!$C$1,MATCH("Declaration"&amp;ADDRESS(ROW(),COLUMN(),4),L!$A:$A,0)-1,SL,,)</f>
        <v>Answer the following questions 1 - 8 based on the declaration scope indicated above</v>
      </c>
      <c r="C24" s="391"/>
      <c r="D24" s="391"/>
      <c r="E24" s="391"/>
      <c r="F24" s="391"/>
      <c r="G24" s="391"/>
      <c r="H24" s="391"/>
      <c r="I24" s="391"/>
      <c r="J24" s="391"/>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 r="A25" s="52"/>
      <c r="B25" s="55" t="str">
        <f ca="1">OFFSET(L!$C$1,MATCH("Declaration"&amp;ADDRESS(ROW(),COLUMN(),4),L!$A:$A,0)-1,SL,,)</f>
        <v>1) Is any 3TG intentionally added or used in the product(s) or in the production process? (*)</v>
      </c>
      <c r="C25" s="20"/>
      <c r="D25" s="427" t="str">
        <f ca="1">OFFSET(L!$C$1,MATCH("Declaration"&amp;ADDRESS(ROW(),COLUMN(),4),L!$A:$A,0)-1,SL,,)</f>
        <v>Answer</v>
      </c>
      <c r="E25" s="427"/>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2">
      <c r="A26" s="52"/>
      <c r="B26" s="51" t="str">
        <f ca="1">OFFSET(L!$C$1,MATCH("Declaration"&amp;ADDRESS(ROW(),COLUMN(),4),L!$A:$A,0)-1,SL,,)&amp;P26</f>
        <v xml:space="preserve">Tantalum  </v>
      </c>
      <c r="C26" s="46"/>
      <c r="D26" s="378" t="s">
        <v>499</v>
      </c>
      <c r="E26" s="379"/>
      <c r="F26" s="15"/>
      <c r="G26" s="380"/>
      <c r="H26" s="381"/>
      <c r="I26" s="381"/>
      <c r="J26" s="382"/>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2">
      <c r="A27" s="52"/>
      <c r="B27" s="51" t="str">
        <f ca="1">OFFSET(L!$C$1,MATCH("Declaration"&amp;ADDRESS(ROW(),COLUMN(),4),L!$A:$A,0)-1,SL,,)&amp;P27</f>
        <v>Tin  (*)</v>
      </c>
      <c r="C27" s="46"/>
      <c r="D27" s="378" t="s">
        <v>498</v>
      </c>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2">
      <c r="A28" s="52"/>
      <c r="B28" s="51" t="str">
        <f ca="1">OFFSET(L!$C$1,MATCH("Declaration"&amp;ADDRESS(ROW(),COLUMN(),4),L!$A:$A,0)-1,SL,,)&amp;P28</f>
        <v>Gold  (*)</v>
      </c>
      <c r="C28" s="46"/>
      <c r="D28" s="378" t="s">
        <v>498</v>
      </c>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2">
      <c r="A29" s="52"/>
      <c r="B29" s="51" t="str">
        <f ca="1">OFFSET(L!$C$1,MATCH("Declaration"&amp;ADDRESS(ROW(),COLUMN(),4),L!$A:$A,0)-1,SL,,)&amp;P29</f>
        <v xml:space="preserve">Tungsten  </v>
      </c>
      <c r="C29" s="46"/>
      <c r="D29" s="378" t="s">
        <v>499</v>
      </c>
      <c r="E29" s="379"/>
      <c r="F29" s="15"/>
      <c r="G29" s="380"/>
      <c r="H29" s="381"/>
      <c r="I29" s="381"/>
      <c r="J29" s="382"/>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7.399999999999999">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55" customHeight="1">
      <c r="A31" s="52"/>
      <c r="B31" s="55" t="str">
        <f ca="1">OFFSET(L!$C$1,MATCH("Declaration"&amp;ADDRESS(ROW(),COLUMN(),4),L!$A:$A,0)-1,SL,,)&amp;Q$37</f>
        <v>2) Does any 3TG remain in the product(s)? (*)</v>
      </c>
      <c r="C31" s="13"/>
      <c r="D31" s="385" t="str">
        <f ca="1">D25</f>
        <v>Answer</v>
      </c>
      <c r="E31" s="385"/>
      <c r="F31" s="21"/>
      <c r="G31" s="55" t="str">
        <f ca="1">G25</f>
        <v>Comments</v>
      </c>
      <c r="H31" s="55"/>
      <c r="I31" s="55"/>
      <c r="J31" s="96"/>
      <c r="K31" s="47"/>
      <c r="L31" s="136" t="s">
        <v>1266</v>
      </c>
      <c r="M31" s="130"/>
      <c r="N31" s="130"/>
      <c r="O31" s="131"/>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2.2">
      <c r="A32" s="52"/>
      <c r="B32" s="51" t="str">
        <f ca="1">B26</f>
        <v xml:space="preserve">Tantalum  </v>
      </c>
      <c r="C32" s="13"/>
      <c r="D32" s="395"/>
      <c r="E32" s="396"/>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2">
      <c r="A33" s="52"/>
      <c r="B33" s="51" t="str">
        <f ca="1">B27</f>
        <v>Tin  (*)</v>
      </c>
      <c r="C33" s="13"/>
      <c r="D33" s="378" t="s">
        <v>498</v>
      </c>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2">
      <c r="A34" s="52"/>
      <c r="B34" s="51" t="str">
        <f ca="1">B28</f>
        <v>Gold  (*)</v>
      </c>
      <c r="C34" s="13"/>
      <c r="D34" s="378" t="s">
        <v>498</v>
      </c>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2">
      <c r="A35" s="52"/>
      <c r="B35" s="51" t="str">
        <f ca="1">B29</f>
        <v xml:space="preserve">Tungsten  </v>
      </c>
      <c r="C35" s="13"/>
      <c r="D35" s="378"/>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399999999999999">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5" t="str">
        <f ca="1">D25</f>
        <v>Answer</v>
      </c>
      <c r="E37" s="385"/>
      <c r="F37" s="21"/>
      <c r="G37" s="55" t="str">
        <f ca="1">G25</f>
        <v>Comments</v>
      </c>
      <c r="H37" s="425"/>
      <c r="I37" s="425"/>
      <c r="J37" s="425"/>
      <c r="K37" s="47"/>
      <c r="L37" s="136" t="s">
        <v>1266</v>
      </c>
      <c r="M37" s="130"/>
      <c r="N37" s="130"/>
      <c r="O37" s="131"/>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2.2">
      <c r="A38" s="52"/>
      <c r="B38" s="51" t="str">
        <f ca="1">OFFSET(L!$C$1,MATCH("Declaration"&amp;ADDRESS(ROW(),COLUMN(),4),L!$A:$A,0)-1,SL,,)&amp;P38</f>
        <v xml:space="preserve">Tantalum  </v>
      </c>
      <c r="C38" s="13"/>
      <c r="D38" s="378"/>
      <c r="E38" s="379"/>
      <c r="F38" s="58"/>
      <c r="G38" s="380"/>
      <c r="H38" s="381"/>
      <c r="I38" s="381"/>
      <c r="J38" s="382"/>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2">
      <c r="A39" s="52"/>
      <c r="B39" s="51" t="str">
        <f ca="1">OFFSET(L!$C$1,MATCH("Declaration"&amp;ADDRESS(ROW(),COLUMN(),4),L!$A:$A,0)-1,SL,,)&amp;P39</f>
        <v>Tin  (*)</v>
      </c>
      <c r="C39" s="13"/>
      <c r="D39" s="378" t="s">
        <v>498</v>
      </c>
      <c r="E39" s="379"/>
      <c r="F39" s="58"/>
      <c r="G39" s="380"/>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2">
      <c r="A40" s="52"/>
      <c r="B40" s="51" t="str">
        <f ca="1">OFFSET(L!$C$1,MATCH("Declaration"&amp;ADDRESS(ROW(),COLUMN(),4),L!$A:$A,0)-1,SL,,)&amp;P40</f>
        <v>Gold  (*)</v>
      </c>
      <c r="C40" s="13"/>
      <c r="D40" s="378" t="s">
        <v>499</v>
      </c>
      <c r="E40" s="379"/>
      <c r="F40" s="58"/>
      <c r="G40" s="380"/>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2">
      <c r="A41" s="52"/>
      <c r="B41" s="51" t="str">
        <f ca="1">OFFSET(L!$C$1,MATCH("Declaration"&amp;ADDRESS(ROW(),COLUMN(),4),L!$A:$A,0)-1,SL,,)&amp;P41</f>
        <v xml:space="preserve">Tungsten  </v>
      </c>
      <c r="C41" s="13"/>
      <c r="D41" s="378"/>
      <c r="E41" s="379"/>
      <c r="F41" s="58"/>
      <c r="G41" s="380"/>
      <c r="H41" s="381"/>
      <c r="I41" s="381"/>
      <c r="J41" s="382"/>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7.399999999999999">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55" customHeight="1">
      <c r="A43" s="52"/>
      <c r="B43" s="55" t="str">
        <f ca="1">OFFSET(L!$C$1,MATCH("Declaration"&amp;ADDRESS(ROW(),COLUMN(),4),L!$A:$A,0)-1,SL,,)&amp;Q$37</f>
        <v>4) Do any of the smelters in your supply chain source the 3TG from conflict-affected and high-risk areas? (*)</v>
      </c>
      <c r="C43" s="13"/>
      <c r="D43" s="385" t="str">
        <f ca="1">D25</f>
        <v>Answer</v>
      </c>
      <c r="E43" s="385"/>
      <c r="F43" s="21"/>
      <c r="G43" s="55" t="str">
        <f ca="1">G25</f>
        <v>Comments</v>
      </c>
      <c r="H43" s="55"/>
      <c r="I43" s="55"/>
      <c r="J43" s="96"/>
      <c r="K43" s="47"/>
      <c r="L43" s="136"/>
      <c r="M43" s="130"/>
      <c r="N43" s="130"/>
      <c r="O43" s="131"/>
      <c r="P43" s="56">
        <f>COUNTIF(D$26:D$29,"No")+COUNTIF(D$32:D$35,"No")</f>
        <v>2</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78"/>
      <c r="E44" s="379"/>
      <c r="F44" s="58"/>
      <c r="G44" s="380"/>
      <c r="H44" s="381"/>
      <c r="I44" s="381"/>
      <c r="J44" s="382"/>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8" t="s">
        <v>499</v>
      </c>
      <c r="E45" s="379"/>
      <c r="F45" s="58"/>
      <c r="G45" s="380"/>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8" t="s">
        <v>499</v>
      </c>
      <c r="E46" s="379"/>
      <c r="F46" s="58"/>
      <c r="G46" s="380"/>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78"/>
      <c r="E47" s="379"/>
      <c r="F47" s="58"/>
      <c r="G47" s="380"/>
      <c r="H47" s="381"/>
      <c r="I47" s="381"/>
      <c r="J47" s="382"/>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5" t="str">
        <f ca="1">D25</f>
        <v>Answer</v>
      </c>
      <c r="E49" s="385"/>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2">
      <c r="A50" s="52"/>
      <c r="B50" s="51" t="str">
        <f ca="1">B38</f>
        <v xml:space="preserve">Tantalum  </v>
      </c>
      <c r="C50" s="13"/>
      <c r="D50" s="378"/>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2">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2">
      <c r="A52" s="52"/>
      <c r="B52" s="51" t="str">
        <f ca="1">B40</f>
        <v>Gold  (*)</v>
      </c>
      <c r="C52" s="13"/>
      <c r="D52" s="378" t="s">
        <v>498</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2">
      <c r="A53" s="52"/>
      <c r="B53" s="51" t="str">
        <f ca="1">B41</f>
        <v xml:space="preserve">Tungsten  </v>
      </c>
      <c r="C53" s="13"/>
      <c r="D53" s="378"/>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399999999999999">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55" customHeight="1">
      <c r="A55" s="52"/>
      <c r="B55" s="161" t="str">
        <f ca="1">OFFSET(L!$C$1,MATCH("Declaration"&amp;ADDRESS(ROW(),COLUMN(),4),L!$A:$A,0)-1,SL,,)&amp;Q$37</f>
        <v>6) What percentage of relevant suppliers have provided a response to your supply chain survey?  (*)</v>
      </c>
      <c r="C55" s="13"/>
      <c r="D55" s="385" t="str">
        <f ca="1">D25</f>
        <v>Answer</v>
      </c>
      <c r="E55" s="385"/>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2">
      <c r="A56" s="52"/>
      <c r="B56" s="51" t="str">
        <f ca="1">B38</f>
        <v xml:space="preserve">Tantalum  </v>
      </c>
      <c r="C56" s="46"/>
      <c r="D56" s="383"/>
      <c r="E56" s="384"/>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2">
      <c r="A57" s="52"/>
      <c r="B57" s="51" t="str">
        <f ca="1">B39</f>
        <v>Tin  (*)</v>
      </c>
      <c r="C57" s="46"/>
      <c r="D57" s="383">
        <v>1</v>
      </c>
      <c r="E57" s="384"/>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2">
      <c r="A58" s="52"/>
      <c r="B58" s="51" t="str">
        <f ca="1">B40</f>
        <v>Gold  (*)</v>
      </c>
      <c r="C58" s="46"/>
      <c r="D58" s="383">
        <v>1</v>
      </c>
      <c r="E58" s="384"/>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2">
      <c r="A59" s="52"/>
      <c r="B59" s="51" t="str">
        <f ca="1">B41</f>
        <v xml:space="preserve">Tungsten  </v>
      </c>
      <c r="C59" s="46"/>
      <c r="D59" s="383"/>
      <c r="E59" s="384"/>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6.2">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 r="A61" s="52"/>
      <c r="B61" s="161" t="str">
        <f ca="1">OFFSET(L!$C$1,MATCH("Declaration"&amp;ADDRESS(ROW(),COLUMN(),4),L!$A:$A,0)-1,SL,,)&amp;Q$37</f>
        <v>7) Have you identified all of the smelters supplying the 3TG to your supply chain?  (*)</v>
      </c>
      <c r="C61" s="13"/>
      <c r="D61" s="385" t="str">
        <f ca="1">D25</f>
        <v>Answer</v>
      </c>
      <c r="E61" s="385"/>
      <c r="F61" s="21"/>
      <c r="G61" s="55" t="str">
        <f ca="1">G25</f>
        <v>Comments</v>
      </c>
      <c r="H61" s="424"/>
      <c r="I61" s="424"/>
      <c r="J61" s="424"/>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2">
      <c r="A62" s="52"/>
      <c r="B62" s="51" t="str">
        <f ca="1">B38</f>
        <v xml:space="preserve">Tantalum  </v>
      </c>
      <c r="C62" s="13"/>
      <c r="D62" s="395"/>
      <c r="E62" s="396"/>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2">
      <c r="A63" s="52"/>
      <c r="B63" s="51" t="str">
        <f ca="1">B39</f>
        <v>Tin  (*)</v>
      </c>
      <c r="C63" s="13"/>
      <c r="D63" s="378" t="s">
        <v>498</v>
      </c>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2">
      <c r="A64" s="52"/>
      <c r="B64" s="51" t="str">
        <f ca="1">B40</f>
        <v>Gold  (*)</v>
      </c>
      <c r="C64" s="13"/>
      <c r="D64" s="378" t="s">
        <v>498</v>
      </c>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2">
      <c r="A65" s="52"/>
      <c r="B65" s="51" t="str">
        <f ca="1">B41</f>
        <v xml:space="preserve">Tungsten  </v>
      </c>
      <c r="C65" s="13"/>
      <c r="D65" s="378"/>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2">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 r="A67" s="52"/>
      <c r="B67" s="55" t="str">
        <f ca="1">OFFSET(L!$C$1,MATCH("Declaration"&amp;ADDRESS(ROW(),COLUMN(),4),L!$A:$A,0)-1,SL,,)&amp;Q$37</f>
        <v>8) Has all applicable smelter information received by your company been reported in this declaration?  (*)</v>
      </c>
      <c r="C67" s="13"/>
      <c r="D67" s="385" t="str">
        <f ca="1">D25</f>
        <v>Answer</v>
      </c>
      <c r="E67" s="385"/>
      <c r="F67" s="21"/>
      <c r="G67" s="55" t="str">
        <f ca="1">G25</f>
        <v>Comments</v>
      </c>
      <c r="H67" s="424" t="str">
        <f>IF(Q75="(*)","Click here to enter smelter names","")</f>
        <v/>
      </c>
      <c r="I67" s="424"/>
      <c r="J67" s="424"/>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2">
      <c r="A68" s="52"/>
      <c r="B68" s="51" t="str">
        <f ca="1">B38</f>
        <v xml:space="preserve">Tantalum  </v>
      </c>
      <c r="C68" s="46"/>
      <c r="D68" s="378"/>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2">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2">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2">
      <c r="A71" s="49"/>
      <c r="B71" s="51" t="str">
        <f ca="1">B41</f>
        <v xml:space="preserve">Tungsten  </v>
      </c>
      <c r="C71" s="60"/>
      <c r="D71" s="378"/>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2">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2">
      <c r="A73" s="52"/>
      <c r="B73" s="438" t="str">
        <f ca="1">OFFSET(L!$C$1,MATCH("Declaration"&amp;ADDRESS(ROW(),COLUMN(),4),L!$A:$A,0)-1,SL,,)</f>
        <v>Answer the Following Questions at a Company Level</v>
      </c>
      <c r="C73" s="438"/>
      <c r="D73" s="438"/>
      <c r="E73" s="438"/>
      <c r="F73" s="438"/>
      <c r="G73" s="438"/>
      <c r="H73" s="438"/>
      <c r="I73" s="438"/>
      <c r="J73" s="438"/>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6.2">
      <c r="A74" s="62"/>
      <c r="B74" s="63" t="str">
        <f ca="1">OFFSET(L!$C$1,MATCH("Declaration"&amp;ADDRESS(ROW(),COLUMN(),4),L!$A:$A,0)-1,SL,,)</f>
        <v>Question</v>
      </c>
      <c r="C74" s="94"/>
      <c r="D74" s="427" t="str">
        <f ca="1">D25</f>
        <v>Answer</v>
      </c>
      <c r="E74" s="427"/>
      <c r="F74" s="64"/>
      <c r="G74" s="427" t="str">
        <f ca="1">G25</f>
        <v>Comments</v>
      </c>
      <c r="H74" s="427" t="e">
        <f>HLOOKUP(SL,LT,$O74,0)</f>
        <v>#NAME?</v>
      </c>
      <c r="I74" s="427"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2.4">
      <c r="A75" s="52"/>
      <c r="B75" s="67" t="str">
        <f ca="1">OFFSET(L!$C$1,MATCH("Declaration"&amp;ADDRESS(ROW(),COLUMN(),4),L!$A:$A,0)-1,SL,,)&amp;$Q$37</f>
        <v>A. Have you established a responsible minerals sourcing policy? (*)</v>
      </c>
      <c r="C75" s="68"/>
      <c r="D75" s="378" t="s">
        <v>498</v>
      </c>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2">
      <c r="A76" s="52"/>
      <c r="B76" s="69"/>
      <c r="C76" s="15"/>
      <c r="D76" s="1"/>
      <c r="E76" s="1"/>
      <c r="F76" s="15"/>
      <c r="G76" s="428"/>
      <c r="H76" s="428"/>
      <c r="I76" s="428"/>
      <c r="J76" s="428"/>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499</v>
      </c>
      <c r="E77" s="379"/>
      <c r="F77" s="68"/>
      <c r="G77" s="397"/>
      <c r="H77" s="398"/>
      <c r="I77" s="398"/>
      <c r="J77" s="399"/>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2">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498</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2">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2">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15442</v>
      </c>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2">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35" t="s">
        <v>498</v>
      </c>
      <c r="E85" s="436"/>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2">
      <c r="A86" s="52"/>
      <c r="B86" s="72"/>
      <c r="C86" s="15"/>
      <c r="D86" s="1"/>
      <c r="E86" s="1"/>
      <c r="F86" s="16"/>
      <c r="G86" s="428"/>
      <c r="H86" s="428"/>
      <c r="I86" s="428"/>
      <c r="J86" s="428"/>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8" t="s">
        <v>498</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2">
      <c r="A88" s="52"/>
      <c r="B88" s="69"/>
      <c r="C88" s="15"/>
      <c r="D88" s="1"/>
      <c r="E88" s="1"/>
      <c r="F88" s="16"/>
      <c r="G88" s="437"/>
      <c r="H88" s="437"/>
      <c r="I88" s="437"/>
      <c r="J88" s="437"/>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2.4">
      <c r="A89" s="52"/>
      <c r="B89" s="67" t="str">
        <f ca="1">OFFSET(L!$C$1,MATCH("Declaration"&amp;ADDRESS(ROW(),COLUMN(),4),L!$A:$A,0)-1,SL,,)&amp;$Q$37</f>
        <v>H. Is your company required to file an annual conflict minerals disclosure? (*)</v>
      </c>
      <c r="C89" s="68"/>
      <c r="D89" s="378" t="s">
        <v>499</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2">
      <c r="A90" s="52"/>
      <c r="B90" s="434" t="str">
        <f>IF(OR($D$8="",$I$3=""),"","Click here to check required fields completion")</f>
        <v/>
      </c>
      <c r="C90" s="434"/>
      <c r="D90" s="434"/>
      <c r="E90" s="434"/>
      <c r="F90" s="434"/>
      <c r="G90" s="434"/>
      <c r="H90" s="434"/>
      <c r="I90" s="434"/>
      <c r="J90" s="434"/>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6.8" thickBot="1">
      <c r="A91" s="432" t="str">
        <f ca="1">OFFSET(L!$C$1,MATCH("General"&amp;"Cpy",L!$A:$A,0)-1,SL,,)</f>
        <v>© 2020 Responsible Minerals Initiative. All rights reserved.</v>
      </c>
      <c r="B91" s="433"/>
      <c r="C91" s="433"/>
      <c r="D91" s="433"/>
      <c r="E91" s="433"/>
      <c r="F91" s="433"/>
      <c r="G91" s="433"/>
      <c r="H91" s="433"/>
      <c r="I91" s="433"/>
      <c r="J91" s="433"/>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6.8"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 hidden="1">
      <c r="B98" s="67" t="s">
        <v>500</v>
      </c>
    </row>
    <row r="99" spans="2:2" ht="15" hidden="1">
      <c r="B99" s="223">
        <v>1</v>
      </c>
    </row>
    <row r="100" spans="2:2" ht="15" hidden="1">
      <c r="B100" s="292" t="s">
        <v>2626</v>
      </c>
    </row>
    <row r="101" spans="2:2" ht="15" hidden="1">
      <c r="B101" s="292" t="s">
        <v>2627</v>
      </c>
    </row>
    <row r="102" spans="2:2" ht="15" hidden="1">
      <c r="B102" s="292" t="s">
        <v>2628</v>
      </c>
    </row>
    <row r="103" spans="2:2" ht="15" hidden="1">
      <c r="B103" s="292" t="s">
        <v>2629</v>
      </c>
    </row>
    <row r="104" spans="2:2" ht="15" hidden="1">
      <c r="B104" s="292" t="s">
        <v>501</v>
      </c>
    </row>
    <row r="105" spans="2:2" ht="15" hidden="1">
      <c r="B105" s="292" t="s">
        <v>15442</v>
      </c>
    </row>
    <row r="106" spans="2:2" ht="15" hidden="1">
      <c r="B106" s="292" t="s">
        <v>12721</v>
      </c>
    </row>
    <row r="107" spans="2:2" ht="15" hidden="1">
      <c r="B107" s="292" t="s">
        <v>499</v>
      </c>
    </row>
    <row r="108" spans="2:2" ht="15" hidden="1">
      <c r="B108" s="292" t="s">
        <v>14352</v>
      </c>
    </row>
    <row r="109" spans="2:2" ht="15" hidden="1">
      <c r="B109" s="292" t="s">
        <v>14354</v>
      </c>
    </row>
    <row r="110" spans="2:2" ht="15" hidden="1">
      <c r="B110" s="292" t="s">
        <v>14355</v>
      </c>
    </row>
    <row r="111" spans="2:2" ht="1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phoneticPr fontId="97"/>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D16" r:id="rId3" xr:uid="{34E28181-1628-413A-BD69-80C4464094B3}"/>
    <hyperlink ref="D20" r:id="rId4" xr:uid="{A087E56F-F367-41C8-B83C-B7FE405EEDDC}"/>
  </hyperlinks>
  <pageMargins left="0.70866141732283505" right="0.70866141732283505" top="0.74803149606299202" bottom="0.74803149606299202" header="0.31496062992126" footer="0.31496062992126"/>
  <pageSetup scale="41" fitToHeight="0" orientation="portrait" r:id="rId5"/>
  <rowBreaks count="1" manualBreakCount="1">
    <brk id="66"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PageLayoutView="55" workbookViewId="0">
      <pane ySplit="4" topLeftCell="A5" activePane="bottomLeft" state="frozen"/>
      <selection pane="bottomLeft" activeCell="A5" sqref="A5"/>
    </sheetView>
  </sheetViews>
  <sheetFormatPr defaultColWidth="8.81640625" defaultRowHeight="12.6"/>
  <cols>
    <col min="1" max="1" width="13.6328125" style="277" customWidth="1"/>
    <col min="2" max="2" width="13.36328125" style="282" customWidth="1"/>
    <col min="3" max="3" width="40.6328125" style="282" customWidth="1"/>
    <col min="4" max="4" width="30.6328125" style="282" customWidth="1"/>
    <col min="5" max="5" width="20.81640625" style="282" customWidth="1"/>
    <col min="6" max="7" width="13.81640625" style="282" customWidth="1"/>
    <col min="8" max="8" width="25.1796875" style="282" customWidth="1"/>
    <col min="9" max="9" width="24.1796875" style="282" customWidth="1"/>
    <col min="10" max="10" width="18.36328125" style="282" customWidth="1"/>
    <col min="11" max="11" width="27.36328125" style="282" customWidth="1"/>
    <col min="12" max="12" width="20.6328125" style="282" customWidth="1"/>
    <col min="13" max="13" width="35.1796875" style="282" customWidth="1"/>
    <col min="14" max="14" width="42.1796875" style="282" customWidth="1"/>
    <col min="15" max="15" width="32.1796875" style="282" customWidth="1"/>
    <col min="16" max="16" width="22.81640625" style="282" customWidth="1"/>
    <col min="17" max="17" width="43.6328125" style="282" customWidth="1"/>
    <col min="18" max="18" width="35.81640625" style="282" hidden="1" customWidth="1"/>
    <col min="19" max="20" width="17.81640625" style="282" hidden="1" customWidth="1"/>
    <col min="21" max="21" width="8.81640625" style="281" hidden="1" customWidth="1"/>
    <col min="22" max="22" width="6.1796875" style="281" hidden="1" customWidth="1"/>
    <col min="23" max="23" width="8.6328125" style="281" hidden="1" customWidth="1"/>
    <col min="24" max="24" width="8.81640625" style="281" hidden="1" customWidth="1"/>
    <col min="25" max="26" width="4.36328125" style="281" hidden="1" customWidth="1"/>
    <col min="27" max="27" width="4.36328125" style="282" hidden="1" customWidth="1"/>
    <col min="28" max="28" width="7.81640625" style="282" hidden="1" customWidth="1"/>
    <col min="29" max="33" width="4.36328125" style="282" hidden="1" customWidth="1"/>
    <col min="34" max="34" width="14.6328125" style="282" hidden="1" customWidth="1"/>
    <col min="35" max="39" width="8.81640625" style="282" customWidth="1"/>
    <col min="40" max="16384" width="8.81640625" style="282"/>
  </cols>
  <sheetData>
    <row r="1" spans="1:34" s="269" customFormat="1" ht="16.0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8.2">
      <c r="A2" s="203"/>
      <c r="B2" s="222" t="str">
        <f ca="1">OFFSET(L!$C$1,MATCH("Smelter List"&amp;ADDRESS(ROW(),COLUMN(),4),L!$A:$A,0)-1,SL,,)</f>
        <v>TO BEGIN:</v>
      </c>
      <c r="C2" s="205"/>
      <c r="D2" s="205"/>
      <c r="E2" s="205"/>
      <c r="F2" s="232"/>
      <c r="G2" s="232"/>
      <c r="H2" s="232"/>
      <c r="I2" s="233"/>
      <c r="J2" s="439" t="str">
        <f ca="1">OFFSET(L!$C$1,MATCH("Smelter List"&amp;ADDRESS(ROW(),COLUMN(),4),L!$A:$A,0)-1,SL,,)</f>
        <v>Link to "RMAP Conformant Smelter List"</v>
      </c>
      <c r="K2" s="440"/>
      <c r="L2" s="440"/>
      <c r="M2" s="440"/>
      <c r="N2" s="440"/>
      <c r="O2" s="440"/>
      <c r="P2" s="234"/>
      <c r="Q2" s="235"/>
      <c r="R2" s="236"/>
      <c r="S2" s="236"/>
      <c r="T2" s="236"/>
      <c r="U2" s="267"/>
      <c r="V2" s="267"/>
      <c r="W2" s="268"/>
      <c r="X2" s="267"/>
      <c r="Y2" s="267"/>
      <c r="Z2" s="267"/>
      <c r="AH2" s="176" t="s">
        <v>498</v>
      </c>
    </row>
    <row r="3" spans="1:34" s="269" customFormat="1" ht="244.05" customHeight="1">
      <c r="A3" s="204"/>
      <c r="B3" s="441"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1"/>
      <c r="D3" s="441"/>
      <c r="E3" s="441"/>
      <c r="F3" s="270"/>
      <c r="G3" s="442" t="str">
        <f ca="1">OFFSET(L!$C$1,MATCH("General"&amp;"Cpy",L!$A:$A,0)-1,SL,,)</f>
        <v>© 2020 Responsible Minerals Initiative. All rights reserved.</v>
      </c>
      <c r="H3" s="442"/>
      <c r="I3" s="443"/>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60">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19.95" customHeight="1">
      <c r="A5" s="332"/>
      <c r="B5" s="217" t="s">
        <v>1153</v>
      </c>
      <c r="C5" s="221" t="s">
        <v>2409</v>
      </c>
      <c r="D5" s="283"/>
      <c r="E5" s="217" t="str">
        <f ca="1">IF(ISERROR($V5),"",OFFSET('Smelter Look-up'!$D$4,$V5-4,0)&amp;"")</f>
        <v>SWITZERLAND</v>
      </c>
      <c r="F5" s="217" t="str">
        <f ca="1">IF(ISERROR($V5),"",OFFSET('Smelter Look-up'!$E$4,$V5-4,0))</f>
        <v>CID000077</v>
      </c>
      <c r="G5" s="217" t="str">
        <f ca="1">IF(C5=$X$4,"Enter smelter details",IF(ISERROR($V5),"",OFFSET('Smelter Look-up'!$F$4,$V5-4,0)))</f>
        <v>RMI</v>
      </c>
      <c r="H5" s="451" t="s">
        <v>15511</v>
      </c>
      <c r="I5" s="452" t="s">
        <v>1578</v>
      </c>
      <c r="J5" s="452" t="s">
        <v>1579</v>
      </c>
      <c r="K5" s="453" t="s">
        <v>15512</v>
      </c>
      <c r="L5" s="453" t="s">
        <v>15513</v>
      </c>
      <c r="M5" s="273"/>
      <c r="N5" s="453" t="s">
        <v>15520</v>
      </c>
      <c r="O5" s="453" t="s">
        <v>15521</v>
      </c>
      <c r="P5" s="220"/>
      <c r="Q5" s="274"/>
      <c r="R5" s="217" t="str">
        <f ca="1">IF(ISERROR($V5),"",OFFSET('Smelter Look-up'!$C$4,$V5-4,0)&amp;"")</f>
        <v>Argor-Heraeus S.A.</v>
      </c>
      <c r="S5" s="225" t="str">
        <f t="shared" ref="S5" ca="1" si="0">IF(B5="","",IF(ISERROR(MATCH($E5,CL,0)),"Unknown",INDIRECT("'C'!$A$"&amp;MATCH($E5,CL,0)+1)))</f>
        <v>CH</v>
      </c>
      <c r="T5" s="225" t="str">
        <f ca="1">IF(B5="","",IF(ISERROR(MATCH($J5,SorP!$B$1:$B$6230,0)),"",INDIRECT("'SorP'!$A$"&amp;MATCH($J5,SorP!$B$1:$B$6230,0))))</f>
        <v>CH-TI</v>
      </c>
      <c r="U5" s="241"/>
      <c r="V5" s="275">
        <f>IF(C5="",NA(),MATCH($B5&amp;$C5,'Smelter Look-up'!$J:$J,0))</f>
        <v>23</v>
      </c>
      <c r="W5" s="276"/>
      <c r="X5" s="276">
        <f t="shared" ref="X5" ca="1" si="1">IF(AND(C5="Smelter not listed",OR(LEN(D5)=0,LEN(E5)=0)),1,0)</f>
        <v>0</v>
      </c>
      <c r="Y5" s="276"/>
      <c r="Z5" s="276"/>
      <c r="AB5" s="278" t="str">
        <f t="shared" ref="AB5" si="2">B5&amp;C5</f>
        <v>GoldArgor-Heraeus S.A.</v>
      </c>
    </row>
    <row r="6" spans="1:34" s="277" customFormat="1" ht="19.95" customHeight="1">
      <c r="A6" s="332"/>
      <c r="B6" s="217" t="s">
        <v>1153</v>
      </c>
      <c r="C6" s="221" t="s">
        <v>2431</v>
      </c>
      <c r="D6" s="283"/>
      <c r="E6" s="217" t="str">
        <f ca="1">IF(ISERROR($V6),"",OFFSET('Smelter Look-up'!$D$4,$V6-4,0)&amp;"")</f>
        <v>SWITZERLAND</v>
      </c>
      <c r="F6" s="217" t="str">
        <f ca="1">IF(ISERROR($V6),"",OFFSET('Smelter Look-up'!$E$4,$V6-4,0))</f>
        <v>CID001153</v>
      </c>
      <c r="G6" s="217" t="str">
        <f ca="1">IF(C6=$X$4,"Enter smelter details",IF(ISERROR($V6),"",OFFSET('Smelter Look-up'!$F$4,$V6-4,0)))</f>
        <v>RMI</v>
      </c>
      <c r="H6" s="451" t="s">
        <v>15514</v>
      </c>
      <c r="I6" s="452" t="s">
        <v>1652</v>
      </c>
      <c r="J6" s="452" t="s">
        <v>1653</v>
      </c>
      <c r="K6" s="453" t="s">
        <v>15515</v>
      </c>
      <c r="L6" s="453" t="s">
        <v>15516</v>
      </c>
      <c r="M6" s="273"/>
      <c r="N6" s="453" t="s">
        <v>15522</v>
      </c>
      <c r="O6" s="453" t="s">
        <v>15522</v>
      </c>
      <c r="P6" s="220"/>
      <c r="Q6" s="274"/>
      <c r="R6" s="217" t="str">
        <f ca="1">IF(ISERROR($V6),"",OFFSET('Smelter Look-up'!$C$4,$V6-4,0)&amp;"")</f>
        <v>Metalor Technologies S.A.</v>
      </c>
      <c r="S6" s="225" t="str">
        <f t="shared" ref="S6:S37" ca="1" si="3">IF(B6="","",IF(ISERROR(MATCH($E6,CL,0)),"Unknown",INDIRECT("'C'!$A$"&amp;MATCH($E6,CL,0)+1)))</f>
        <v>CH</v>
      </c>
      <c r="T6" s="225" t="str">
        <f ca="1">IF(B6="","",IF(ISERROR(MATCH($J6,SorP!$B$1:$B$6230,0)),"",INDIRECT("'SorP'!$A$"&amp;MATCH($J6,SorP!$B$1:$B$6230,0))))</f>
        <v>CH-NE</v>
      </c>
      <c r="U6" s="241"/>
      <c r="V6" s="275">
        <f>IF(C6="",NA(),MATCH($B6&amp;$C6,'Smelter Look-up'!$J:$J,0))</f>
        <v>158</v>
      </c>
      <c r="W6" s="276"/>
      <c r="X6" s="276">
        <f t="shared" ref="X6:X37" ca="1" si="4">IF(AND(C6="Smelter not listed",OR(LEN(D6)=0,LEN(E6)=0)),1,0)</f>
        <v>0</v>
      </c>
      <c r="Y6" s="276"/>
      <c r="Z6" s="276"/>
      <c r="AB6" s="278" t="str">
        <f t="shared" ref="AB6:AB37" si="5">B6&amp;C6</f>
        <v>GoldMetalor Technologies S.A.</v>
      </c>
    </row>
    <row r="7" spans="1:34" s="277" customFormat="1" ht="19.95" customHeight="1">
      <c r="A7" s="332"/>
      <c r="B7" s="217" t="s">
        <v>1154</v>
      </c>
      <c r="C7" s="221" t="s">
        <v>2345</v>
      </c>
      <c r="D7" s="283"/>
      <c r="E7" s="217" t="str">
        <f ca="1">IF(ISERROR($V7),"",OFFSET('Smelter Look-up'!$D$4,$V7-4,0)&amp;"")</f>
        <v>MALAYSIA</v>
      </c>
      <c r="F7" s="217" t="str">
        <f ca="1">IF(ISERROR($V7),"",OFFSET('Smelter Look-up'!$E$4,$V7-4,0))</f>
        <v>CID001105</v>
      </c>
      <c r="G7" s="217" t="str">
        <f ca="1">IF(C7=$X$4,"Enter smelter details",IF(ISERROR($V7),"",OFFSET('Smelter Look-up'!$F$4,$V7-4,0)))</f>
        <v>RMI</v>
      </c>
      <c r="H7" s="451" t="s">
        <v>15517</v>
      </c>
      <c r="I7" s="452" t="s">
        <v>1819</v>
      </c>
      <c r="J7" s="452" t="s">
        <v>8983</v>
      </c>
      <c r="K7" s="453" t="s">
        <v>15518</v>
      </c>
      <c r="L7" s="453" t="s">
        <v>15519</v>
      </c>
      <c r="M7" s="273"/>
      <c r="N7" s="453" t="s">
        <v>15523</v>
      </c>
      <c r="O7" s="453" t="s">
        <v>15524</v>
      </c>
      <c r="P7" s="220"/>
      <c r="Q7" s="274"/>
      <c r="R7" s="217" t="str">
        <f ca="1">IF(ISERROR($V7),"",OFFSET('Smelter Look-up'!$C$4,$V7-4,0)&amp;"")</f>
        <v>Malaysia Smelting Corporation (MSC)</v>
      </c>
      <c r="S7" s="225" t="str">
        <f t="shared" ca="1" si="3"/>
        <v>MY</v>
      </c>
      <c r="T7" s="225" t="str">
        <f ca="1">IF(B7="","",IF(ISERROR(MATCH($J7,SorP!$B$1:$B$6230,0)),"",INDIRECT("'SorP'!$A$"&amp;MATCH($J7,SorP!$B$1:$B$6230,0))))</f>
        <v>MY-07</v>
      </c>
      <c r="U7" s="241"/>
      <c r="V7" s="275">
        <f>IF(C7="",NA(),MATCH($B7&amp;$C7,'Smelter Look-up'!$J:$J,0))</f>
        <v>427</v>
      </c>
      <c r="W7" s="276"/>
      <c r="X7" s="276">
        <f t="shared" ca="1" si="4"/>
        <v>0</v>
      </c>
      <c r="Y7" s="276"/>
      <c r="Z7" s="276"/>
      <c r="AB7" s="278" t="str">
        <f t="shared" si="5"/>
        <v>TinMSC</v>
      </c>
    </row>
    <row r="8" spans="1:34" s="277" customFormat="1" ht="19.95" customHeight="1">
      <c r="A8" s="332"/>
      <c r="B8" s="217" t="str">
        <f>IF(LEN(A8)=0,"",INDEX('Smelter Look-up'!$A:$A,MATCH($A8,'Smelter Look-up'!$E:$E,0)))</f>
        <v/>
      </c>
      <c r="C8" s="221" t="str">
        <f>IF(LEN(A8)=0,"",INDEX('Smelter Look-up'!$C:$C,MATCH($A8,'Smelter Look-up'!$E:$E,0)))</f>
        <v/>
      </c>
      <c r="D8" s="283"/>
      <c r="E8" s="217" t="str">
        <f ca="1">IF(ISERROR($V8),"",OFFSET('Smelter Look-up'!$D$4,$V8-4,0)&amp;"")</f>
        <v/>
      </c>
      <c r="F8" s="217" t="str">
        <f ca="1">IF(ISERROR($V8),"",OFFSET('Smelter Look-up'!$E$4,$V8-4,0))</f>
        <v/>
      </c>
      <c r="G8" s="217" t="str">
        <f ca="1">IF(C8=$X$4,"Enter smelter details",IF(ISERROR($V8),"",OFFSET('Smelter Look-up'!$F$4,$V8-4,0)))</f>
        <v/>
      </c>
      <c r="H8" s="218" t="str">
        <f ca="1">IF(ISERROR($V8),"",OFFSET('Smelter Look-up'!$G$4,$V8-4,0))</f>
        <v/>
      </c>
      <c r="I8" s="219" t="str">
        <f ca="1">IF(ISERROR($V8),"",OFFSET('Smelter Look-up'!$H$4,$V8-4,0))</f>
        <v/>
      </c>
      <c r="J8" s="219" t="str">
        <f ca="1">IF(ISERROR($V8),"",OFFSET('Smelter Look-up'!$I$4,$V8-4,0))</f>
        <v/>
      </c>
      <c r="K8" s="273"/>
      <c r="L8" s="273"/>
      <c r="M8" s="273"/>
      <c r="N8" s="273"/>
      <c r="O8" s="273"/>
      <c r="P8" s="220"/>
      <c r="Q8" s="274"/>
      <c r="R8" s="217" t="str">
        <f ca="1">IF(ISERROR($V8),"",OFFSET('Smelter Look-up'!$C$4,$V8-4,0)&amp;"")</f>
        <v/>
      </c>
      <c r="S8" s="225" t="str">
        <f t="shared" ca="1" si="3"/>
        <v/>
      </c>
      <c r="T8" s="225" t="str">
        <f ca="1">IF(B8="","",IF(ISERROR(MATCH($J8,SorP!$B$1:$B$6230,0)),"",INDIRECT("'SorP'!$A$"&amp;MATCH($J8,SorP!$B$1:$B$6230,0))))</f>
        <v/>
      </c>
      <c r="U8" s="241"/>
      <c r="V8" s="275" t="e">
        <f>IF(C8="",NA(),MATCH($B8&amp;$C8,'Smelter Look-up'!$J:$J,0))</f>
        <v>#N/A</v>
      </c>
      <c r="W8" s="276"/>
      <c r="X8" s="276">
        <f t="shared" ca="1" si="4"/>
        <v>0</v>
      </c>
      <c r="Y8" s="276"/>
      <c r="Z8" s="276"/>
      <c r="AB8" s="278" t="str">
        <f t="shared" si="5"/>
        <v/>
      </c>
    </row>
    <row r="9" spans="1:34" s="277" customFormat="1" ht="19.95" customHeight="1">
      <c r="A9" s="332"/>
      <c r="B9" s="217" t="str">
        <f>IF(LEN(A9)=0,"",INDEX('Smelter Look-up'!$A:$A,MATCH($A9,'Smelter Look-up'!$E:$E,0)))</f>
        <v/>
      </c>
      <c r="C9" s="221" t="str">
        <f>IF(LEN(A9)=0,"",INDEX('Smelter Look-up'!$C:$C,MATCH($A9,'Smelter Look-up'!$E:$E,0)))</f>
        <v/>
      </c>
      <c r="D9" s="283"/>
      <c r="E9" s="217" t="str">
        <f ca="1">IF(ISERROR($V9),"",OFFSET('Smelter Look-up'!$D$4,$V9-4,0)&amp;"")</f>
        <v/>
      </c>
      <c r="F9" s="217" t="str">
        <f ca="1">IF(ISERROR($V9),"",OFFSET('Smelter Look-up'!$E$4,$V9-4,0))</f>
        <v/>
      </c>
      <c r="G9" s="217" t="str">
        <f ca="1">IF(C9=$X$4,"Enter smelter details",IF(ISERROR($V9),"",OFFSET('Smelter Look-up'!$F$4,$V9-4,0)))</f>
        <v/>
      </c>
      <c r="H9" s="218" t="str">
        <f ca="1">IF(ISERROR($V9),"",OFFSET('Smelter Look-up'!$G$4,$V9-4,0))</f>
        <v/>
      </c>
      <c r="I9" s="219" t="str">
        <f ca="1">IF(ISERROR($V9),"",OFFSET('Smelter Look-up'!$H$4,$V9-4,0))</f>
        <v/>
      </c>
      <c r="J9" s="219" t="str">
        <f ca="1">IF(ISERROR($V9),"",OFFSET('Smelter Look-up'!$I$4,$V9-4,0))</f>
        <v/>
      </c>
      <c r="K9" s="273"/>
      <c r="L9" s="273"/>
      <c r="M9" s="273"/>
      <c r="N9" s="273"/>
      <c r="O9" s="273"/>
      <c r="P9" s="220"/>
      <c r="Q9" s="274"/>
      <c r="R9" s="217" t="str">
        <f ca="1">IF(ISERROR($V9),"",OFFSET('Smelter Look-up'!$C$4,$V9-4,0)&amp;"")</f>
        <v/>
      </c>
      <c r="S9" s="225" t="str">
        <f t="shared" ca="1" si="3"/>
        <v/>
      </c>
      <c r="T9" s="225" t="str">
        <f ca="1">IF(B9="","",IF(ISERROR(MATCH($J9,SorP!$B$1:$B$6230,0)),"",INDIRECT("'SorP'!$A$"&amp;MATCH($J9,SorP!$B$1:$B$6230,0))))</f>
        <v/>
      </c>
      <c r="U9" s="241"/>
      <c r="V9" s="275" t="e">
        <f>IF(C9="",NA(),MATCH($B9&amp;$C9,'Smelter Look-up'!$J:$J,0))</f>
        <v>#N/A</v>
      </c>
      <c r="W9" s="276"/>
      <c r="X9" s="276">
        <f t="shared" ca="1" si="4"/>
        <v>0</v>
      </c>
      <c r="Y9" s="276"/>
      <c r="Z9" s="276"/>
      <c r="AB9" s="278" t="str">
        <f t="shared" si="5"/>
        <v/>
      </c>
    </row>
    <row r="10" spans="1:34" s="277" customFormat="1" ht="19.95" customHeight="1">
      <c r="A10" s="332"/>
      <c r="B10" s="217" t="str">
        <f>IF(LEN(A10)=0,"",INDEX('Smelter Look-up'!$A:$A,MATCH($A10,'Smelter Look-up'!$E:$E,0)))</f>
        <v/>
      </c>
      <c r="C10" s="221" t="str">
        <f>IF(LEN(A10)=0,"",INDEX('Smelter Look-up'!$C:$C,MATCH($A10,'Smelter Look-up'!$E:$E,0)))</f>
        <v/>
      </c>
      <c r="D10" s="283"/>
      <c r="E10" s="217" t="str">
        <f ca="1">IF(ISERROR($V10),"",OFFSET('Smelter Look-up'!$D$4,$V10-4,0)&amp;"")</f>
        <v/>
      </c>
      <c r="F10" s="217" t="str">
        <f ca="1">IF(ISERROR($V10),"",OFFSET('Smelter Look-up'!$E$4,$V10-4,0))</f>
        <v/>
      </c>
      <c r="G10" s="217" t="str">
        <f ca="1">IF(C10=$X$4,"Enter smelter details",IF(ISERROR($V10),"",OFFSET('Smelter Look-up'!$F$4,$V10-4,0)))</f>
        <v/>
      </c>
      <c r="H10" s="218" t="str">
        <f ca="1">IF(ISERROR($V10),"",OFFSET('Smelter Look-up'!$G$4,$V10-4,0))</f>
        <v/>
      </c>
      <c r="I10" s="219" t="str">
        <f ca="1">IF(ISERROR($V10),"",OFFSET('Smelter Look-up'!$H$4,$V10-4,0))</f>
        <v/>
      </c>
      <c r="J10" s="219" t="str">
        <f ca="1">IF(ISERROR($V10),"",OFFSET('Smelter Look-up'!$I$4,$V10-4,0))</f>
        <v/>
      </c>
      <c r="K10" s="273"/>
      <c r="L10" s="273"/>
      <c r="M10" s="273"/>
      <c r="N10" s="273"/>
      <c r="O10" s="273"/>
      <c r="P10" s="220"/>
      <c r="Q10" s="274"/>
      <c r="R10" s="217" t="str">
        <f ca="1">IF(ISERROR($V10),"",OFFSET('Smelter Look-up'!$C$4,$V10-4,0)&amp;"")</f>
        <v/>
      </c>
      <c r="S10" s="225" t="str">
        <f t="shared" ca="1" si="3"/>
        <v/>
      </c>
      <c r="T10" s="225" t="str">
        <f ca="1">IF(B10="","",IF(ISERROR(MATCH($J10,SorP!$B$1:$B$6230,0)),"",INDIRECT("'SorP'!$A$"&amp;MATCH($J10,SorP!$B$1:$B$6230,0))))</f>
        <v/>
      </c>
      <c r="U10" s="241"/>
      <c r="V10" s="275" t="e">
        <f>IF(C10="",NA(),MATCH($B10&amp;$C10,'Smelter Look-up'!$J:$J,0))</f>
        <v>#N/A</v>
      </c>
      <c r="W10" s="276"/>
      <c r="X10" s="276">
        <f t="shared" ca="1" si="4"/>
        <v>0</v>
      </c>
      <c r="Y10" s="276"/>
      <c r="Z10" s="276"/>
      <c r="AB10" s="278" t="str">
        <f t="shared" si="5"/>
        <v/>
      </c>
    </row>
    <row r="11" spans="1:34" s="277" customFormat="1" ht="19.95" customHeight="1">
      <c r="A11" s="332"/>
      <c r="B11" s="217" t="str">
        <f>IF(LEN(A11)=0,"",INDEX('Smelter Look-up'!$A:$A,MATCH($A11,'Smelter Look-up'!$E:$E,0)))</f>
        <v/>
      </c>
      <c r="C11" s="221" t="str">
        <f>IF(LEN(A11)=0,"",INDEX('Smelter Look-up'!$C:$C,MATCH($A11,'Smelter Look-up'!$E:$E,0)))</f>
        <v/>
      </c>
      <c r="D11" s="283"/>
      <c r="E11" s="217" t="str">
        <f ca="1">IF(ISERROR($V11),"",OFFSET('Smelter Look-up'!$D$4,$V11-4,0)&amp;"")</f>
        <v/>
      </c>
      <c r="F11" s="217" t="str">
        <f ca="1">IF(ISERROR($V11),"",OFFSET('Smelter Look-up'!$E$4,$V11-4,0))</f>
        <v/>
      </c>
      <c r="G11" s="217" t="str">
        <f ca="1">IF(C11=$X$4,"Enter smelter details",IF(ISERROR($V11),"",OFFSET('Smelter Look-up'!$F$4,$V11-4,0)))</f>
        <v/>
      </c>
      <c r="H11" s="218" t="str">
        <f ca="1">IF(ISERROR($V11),"",OFFSET('Smelter Look-up'!$G$4,$V11-4,0))</f>
        <v/>
      </c>
      <c r="I11" s="219" t="str">
        <f ca="1">IF(ISERROR($V11),"",OFFSET('Smelter Look-up'!$H$4,$V11-4,0))</f>
        <v/>
      </c>
      <c r="J11" s="219" t="str">
        <f ca="1">IF(ISERROR($V11),"",OFFSET('Smelter Look-up'!$I$4,$V11-4,0))</f>
        <v/>
      </c>
      <c r="K11" s="273"/>
      <c r="L11" s="273"/>
      <c r="M11" s="273"/>
      <c r="N11" s="273"/>
      <c r="O11" s="273"/>
      <c r="P11" s="220"/>
      <c r="Q11" s="274"/>
      <c r="R11" s="217" t="str">
        <f ca="1">IF(ISERROR($V11),"",OFFSET('Smelter Look-up'!$C$4,$V11-4,0)&amp;"")</f>
        <v/>
      </c>
      <c r="S11" s="225" t="str">
        <f t="shared" ca="1" si="3"/>
        <v/>
      </c>
      <c r="T11" s="225" t="str">
        <f ca="1">IF(B11="","",IF(ISERROR(MATCH($J11,SorP!$B$1:$B$6230,0)),"",INDIRECT("'SorP'!$A$"&amp;MATCH($J11,SorP!$B$1:$B$6230,0))))</f>
        <v/>
      </c>
      <c r="U11" s="241"/>
      <c r="V11" s="275" t="e">
        <f>IF(C11="",NA(),MATCH($B11&amp;$C11,'Smelter Look-up'!$J:$J,0))</f>
        <v>#N/A</v>
      </c>
      <c r="W11" s="276"/>
      <c r="X11" s="276">
        <f t="shared" ca="1" si="4"/>
        <v>0</v>
      </c>
      <c r="Y11" s="276"/>
      <c r="Z11" s="276"/>
      <c r="AB11" s="278" t="str">
        <f t="shared" si="5"/>
        <v/>
      </c>
    </row>
    <row r="12" spans="1:34" s="277" customFormat="1" ht="19.95" customHeight="1">
      <c r="A12" s="332"/>
      <c r="B12" s="217" t="str">
        <f>IF(LEN(A12)=0,"",INDEX('Smelter Look-up'!$A:$A,MATCH($A12,'Smelter Look-up'!$E:$E,0)))</f>
        <v/>
      </c>
      <c r="C12" s="221" t="str">
        <f>IF(LEN(A12)=0,"",INDEX('Smelter Look-up'!$C:$C,MATCH($A12,'Smelter Look-up'!$E:$E,0)))</f>
        <v/>
      </c>
      <c r="D12" s="283"/>
      <c r="E12" s="217" t="str">
        <f ca="1">IF(ISERROR($V12),"",OFFSET('Smelter Look-up'!$D$4,$V12-4,0)&amp;"")</f>
        <v/>
      </c>
      <c r="F12" s="217" t="str">
        <f ca="1">IF(ISERROR($V12),"",OFFSET('Smelter Look-up'!$E$4,$V12-4,0))</f>
        <v/>
      </c>
      <c r="G12" s="217" t="str">
        <f ca="1">IF(C12=$X$4,"Enter smelter details",IF(ISERROR($V12),"",OFFSET('Smelter Look-up'!$F$4,$V12-4,0)))</f>
        <v/>
      </c>
      <c r="H12" s="218" t="str">
        <f ca="1">IF(ISERROR($V12),"",OFFSET('Smelter Look-up'!$G$4,$V12-4,0))</f>
        <v/>
      </c>
      <c r="I12" s="219" t="str">
        <f ca="1">IF(ISERROR($V12),"",OFFSET('Smelter Look-up'!$H$4,$V12-4,0))</f>
        <v/>
      </c>
      <c r="J12" s="219" t="str">
        <f ca="1">IF(ISERROR($V12),"",OFFSET('Smelter Look-up'!$I$4,$V12-4,0))</f>
        <v/>
      </c>
      <c r="K12" s="273"/>
      <c r="L12" s="273"/>
      <c r="M12" s="273"/>
      <c r="N12" s="273"/>
      <c r="O12" s="273"/>
      <c r="P12" s="220"/>
      <c r="Q12" s="274"/>
      <c r="R12" s="217" t="str">
        <f ca="1">IF(ISERROR($V12),"",OFFSET('Smelter Look-up'!$C$4,$V12-4,0)&amp;"")</f>
        <v/>
      </c>
      <c r="S12" s="225" t="str">
        <f t="shared" ca="1" si="3"/>
        <v/>
      </c>
      <c r="T12" s="225" t="str">
        <f ca="1">IF(B12="","",IF(ISERROR(MATCH($J12,SorP!$B$1:$B$6230,0)),"",INDIRECT("'SorP'!$A$"&amp;MATCH($J12,SorP!$B$1:$B$6230,0))))</f>
        <v/>
      </c>
      <c r="U12" s="241"/>
      <c r="V12" s="275" t="e">
        <f>IF(C12="",NA(),MATCH($B12&amp;$C12,'Smelter Look-up'!$J:$J,0))</f>
        <v>#N/A</v>
      </c>
      <c r="W12" s="276"/>
      <c r="X12" s="276">
        <f t="shared" ca="1" si="4"/>
        <v>0</v>
      </c>
      <c r="Y12" s="276"/>
      <c r="Z12" s="276"/>
      <c r="AB12" s="278" t="str">
        <f t="shared" si="5"/>
        <v/>
      </c>
    </row>
    <row r="13" spans="1:34" s="277" customFormat="1" ht="19.95" customHeight="1">
      <c r="A13" s="332"/>
      <c r="B13" s="217" t="str">
        <f>IF(LEN(A13)=0,"",INDEX('Smelter Look-up'!$A:$A,MATCH($A13,'Smelter Look-up'!$E:$E,0)))</f>
        <v/>
      </c>
      <c r="C13" s="221" t="str">
        <f>IF(LEN(A13)=0,"",INDEX('Smelter Look-up'!$C:$C,MATCH($A13,'Smelter Look-up'!$E:$E,0)))</f>
        <v/>
      </c>
      <c r="D13" s="283"/>
      <c r="E13" s="217" t="str">
        <f ca="1">IF(ISERROR($V13),"",OFFSET('Smelter Look-up'!$D$4,$V13-4,0)&amp;"")</f>
        <v/>
      </c>
      <c r="F13" s="217" t="str">
        <f ca="1">IF(ISERROR($V13),"",OFFSET('Smelter Look-up'!$E$4,$V13-4,0))</f>
        <v/>
      </c>
      <c r="G13" s="217" t="str">
        <f ca="1">IF(C13=$X$4,"Enter smelter details",IF(ISERROR($V13),"",OFFSET('Smelter Look-up'!$F$4,$V13-4,0)))</f>
        <v/>
      </c>
      <c r="H13" s="218" t="str">
        <f ca="1">IF(ISERROR($V13),"",OFFSET('Smelter Look-up'!$G$4,$V13-4,0))</f>
        <v/>
      </c>
      <c r="I13" s="219" t="str">
        <f ca="1">IF(ISERROR($V13),"",OFFSET('Smelter Look-up'!$H$4,$V13-4,0))</f>
        <v/>
      </c>
      <c r="J13" s="219" t="str">
        <f ca="1">IF(ISERROR($V13),"",OFFSET('Smelter Look-up'!$I$4,$V13-4,0))</f>
        <v/>
      </c>
      <c r="K13" s="273"/>
      <c r="L13" s="273"/>
      <c r="M13" s="273"/>
      <c r="N13" s="273"/>
      <c r="O13" s="273"/>
      <c r="P13" s="220"/>
      <c r="Q13" s="274"/>
      <c r="R13" s="217" t="str">
        <f ca="1">IF(ISERROR($V13),"",OFFSET('Smelter Look-up'!$C$4,$V13-4,0)&amp;"")</f>
        <v/>
      </c>
      <c r="S13" s="225" t="str">
        <f t="shared" ca="1" si="3"/>
        <v/>
      </c>
      <c r="T13" s="225" t="str">
        <f ca="1">IF(B13="","",IF(ISERROR(MATCH($J13,SorP!$B$1:$B$6230,0)),"",INDIRECT("'SorP'!$A$"&amp;MATCH($J13,SorP!$B$1:$B$6230,0))))</f>
        <v/>
      </c>
      <c r="U13" s="241"/>
      <c r="V13" s="275" t="e">
        <f>IF(C13="",NA(),MATCH($B13&amp;$C13,'Smelter Look-up'!$J:$J,0))</f>
        <v>#N/A</v>
      </c>
      <c r="W13" s="276"/>
      <c r="X13" s="276">
        <f t="shared" ca="1" si="4"/>
        <v>0</v>
      </c>
      <c r="Y13" s="276"/>
      <c r="Z13" s="276"/>
      <c r="AB13" s="278" t="str">
        <f t="shared" si="5"/>
        <v/>
      </c>
    </row>
    <row r="14" spans="1:34" s="277" customFormat="1" ht="19.95" customHeight="1">
      <c r="A14" s="332"/>
      <c r="B14" s="217" t="str">
        <f>IF(LEN(A14)=0,"",INDEX('Smelter Look-up'!$A:$A,MATCH($A14,'Smelter Look-up'!$E:$E,0)))</f>
        <v/>
      </c>
      <c r="C14" s="221" t="str">
        <f>IF(LEN(A14)=0,"",INDEX('Smelter Look-up'!$C:$C,MATCH($A14,'Smelter Look-up'!$E:$E,0)))</f>
        <v/>
      </c>
      <c r="D14" s="283"/>
      <c r="E14" s="217" t="str">
        <f ca="1">IF(ISERROR($V14),"",OFFSET('Smelter Look-up'!$D$4,$V14-4,0)&amp;"")</f>
        <v/>
      </c>
      <c r="F14" s="217" t="str">
        <f ca="1">IF(ISERROR($V14),"",OFFSET('Smelter Look-up'!$E$4,$V14-4,0))</f>
        <v/>
      </c>
      <c r="G14" s="217" t="str">
        <f ca="1">IF(C14=$X$4,"Enter smelter details",IF(ISERROR($V14),"",OFFSET('Smelter Look-up'!$F$4,$V14-4,0)))</f>
        <v/>
      </c>
      <c r="H14" s="218" t="str">
        <f ca="1">IF(ISERROR($V14),"",OFFSET('Smelter Look-up'!$G$4,$V14-4,0))</f>
        <v/>
      </c>
      <c r="I14" s="219" t="str">
        <f ca="1">IF(ISERROR($V14),"",OFFSET('Smelter Look-up'!$H$4,$V14-4,0))</f>
        <v/>
      </c>
      <c r="J14" s="219" t="str">
        <f ca="1">IF(ISERROR($V14),"",OFFSET('Smelter Look-up'!$I$4,$V14-4,0))</f>
        <v/>
      </c>
      <c r="K14" s="273"/>
      <c r="L14" s="273"/>
      <c r="M14" s="273"/>
      <c r="N14" s="273"/>
      <c r="O14" s="273"/>
      <c r="P14" s="220"/>
      <c r="Q14" s="274"/>
      <c r="R14" s="217" t="str">
        <f ca="1">IF(ISERROR($V14),"",OFFSET('Smelter Look-up'!$C$4,$V14-4,0)&amp;"")</f>
        <v/>
      </c>
      <c r="S14" s="225" t="str">
        <f t="shared" ca="1" si="3"/>
        <v/>
      </c>
      <c r="T14" s="225" t="str">
        <f ca="1">IF(B14="","",IF(ISERROR(MATCH($J14,SorP!$B$1:$B$6230,0)),"",INDIRECT("'SorP'!$A$"&amp;MATCH($J14,SorP!$B$1:$B$6230,0))))</f>
        <v/>
      </c>
      <c r="U14" s="241"/>
      <c r="V14" s="275" t="e">
        <f>IF(C14="",NA(),MATCH($B14&amp;$C14,'Smelter Look-up'!$J:$J,0))</f>
        <v>#N/A</v>
      </c>
      <c r="W14" s="276"/>
      <c r="X14" s="276">
        <f t="shared" ca="1" si="4"/>
        <v>0</v>
      </c>
      <c r="Y14" s="276"/>
      <c r="Z14" s="276"/>
      <c r="AB14" s="278" t="str">
        <f t="shared" si="5"/>
        <v/>
      </c>
    </row>
    <row r="15" spans="1:34" s="277" customFormat="1" ht="19.95" customHeight="1">
      <c r="A15" s="332"/>
      <c r="B15" s="217" t="str">
        <f>IF(LEN(A15)=0,"",INDEX('Smelter Look-up'!$A:$A,MATCH($A15,'Smelter Look-up'!$E:$E,0)))</f>
        <v/>
      </c>
      <c r="C15" s="221" t="str">
        <f>IF(LEN(A15)=0,"",INDEX('Smelter Look-up'!$C:$C,MATCH($A15,'Smelter Look-up'!$E:$E,0)))</f>
        <v/>
      </c>
      <c r="D15" s="283"/>
      <c r="E15" s="217" t="str">
        <f ca="1">IF(ISERROR($V15),"",OFFSET('Smelter Look-up'!$D$4,$V15-4,0)&amp;"")</f>
        <v/>
      </c>
      <c r="F15" s="217" t="str">
        <f ca="1">IF(ISERROR($V15),"",OFFSET('Smelter Look-up'!$E$4,$V15-4,0))</f>
        <v/>
      </c>
      <c r="G15" s="217" t="str">
        <f ca="1">IF(C15=$X$4,"Enter smelter details",IF(ISERROR($V15),"",OFFSET('Smelter Look-up'!$F$4,$V15-4,0)))</f>
        <v/>
      </c>
      <c r="H15" s="218" t="str">
        <f ca="1">IF(ISERROR($V15),"",OFFSET('Smelter Look-up'!$G$4,$V15-4,0))</f>
        <v/>
      </c>
      <c r="I15" s="219" t="str">
        <f ca="1">IF(ISERROR($V15),"",OFFSET('Smelter Look-up'!$H$4,$V15-4,0))</f>
        <v/>
      </c>
      <c r="J15" s="219" t="str">
        <f ca="1">IF(ISERROR($V15),"",OFFSET('Smelter Look-up'!$I$4,$V15-4,0))</f>
        <v/>
      </c>
      <c r="K15" s="273"/>
      <c r="L15" s="273"/>
      <c r="M15" s="273"/>
      <c r="N15" s="273"/>
      <c r="O15" s="273"/>
      <c r="P15" s="220"/>
      <c r="Q15" s="274"/>
      <c r="R15" s="217" t="str">
        <f ca="1">IF(ISERROR($V15),"",OFFSET('Smelter Look-up'!$C$4,$V15-4,0)&amp;"")</f>
        <v/>
      </c>
      <c r="S15" s="225" t="str">
        <f t="shared" ca="1" si="3"/>
        <v/>
      </c>
      <c r="T15" s="225" t="str">
        <f ca="1">IF(B15="","",IF(ISERROR(MATCH($J15,SorP!$B$1:$B$6230,0)),"",INDIRECT("'SorP'!$A$"&amp;MATCH($J15,SorP!$B$1:$B$6230,0))))</f>
        <v/>
      </c>
      <c r="U15" s="241"/>
      <c r="V15" s="275" t="e">
        <f>IF(C15="",NA(),MATCH($B15&amp;$C15,'Smelter Look-up'!$J:$J,0))</f>
        <v>#N/A</v>
      </c>
      <c r="W15" s="276"/>
      <c r="X15" s="276">
        <f t="shared" ca="1" si="4"/>
        <v>0</v>
      </c>
      <c r="Y15" s="276"/>
      <c r="Z15" s="276"/>
      <c r="AB15" s="278" t="str">
        <f t="shared" si="5"/>
        <v/>
      </c>
    </row>
    <row r="16" spans="1:34" s="277" customFormat="1" ht="19.95" customHeight="1">
      <c r="A16" s="332"/>
      <c r="B16" s="217" t="str">
        <f>IF(LEN(A16)=0,"",INDEX('Smelter Look-up'!$A:$A,MATCH($A16,'Smelter Look-up'!$E:$E,0)))</f>
        <v/>
      </c>
      <c r="C16" s="221" t="str">
        <f>IF(LEN(A16)=0,"",INDEX('Smelter Look-up'!$C:$C,MATCH($A16,'Smelter Look-up'!$E:$E,0)))</f>
        <v/>
      </c>
      <c r="D16" s="283"/>
      <c r="E16" s="217" t="str">
        <f ca="1">IF(ISERROR($V16),"",OFFSET('Smelter Look-up'!$D$4,$V16-4,0)&amp;"")</f>
        <v/>
      </c>
      <c r="F16" s="217" t="str">
        <f ca="1">IF(ISERROR($V16),"",OFFSET('Smelter Look-up'!$E$4,$V16-4,0))</f>
        <v/>
      </c>
      <c r="G16" s="217" t="str">
        <f ca="1">IF(C16=$X$4,"Enter smelter details",IF(ISERROR($V16),"",OFFSET('Smelter Look-up'!$F$4,$V16-4,0)))</f>
        <v/>
      </c>
      <c r="H16" s="218" t="str">
        <f ca="1">IF(ISERROR($V16),"",OFFSET('Smelter Look-up'!$G$4,$V16-4,0))</f>
        <v/>
      </c>
      <c r="I16" s="219" t="str">
        <f ca="1">IF(ISERROR($V16),"",OFFSET('Smelter Look-up'!$H$4,$V16-4,0))</f>
        <v/>
      </c>
      <c r="J16" s="219" t="str">
        <f ca="1">IF(ISERROR($V16),"",OFFSET('Smelter Look-up'!$I$4,$V16-4,0))</f>
        <v/>
      </c>
      <c r="K16" s="273"/>
      <c r="L16" s="273"/>
      <c r="M16" s="273"/>
      <c r="N16" s="273"/>
      <c r="O16" s="273"/>
      <c r="P16" s="220"/>
      <c r="Q16" s="274"/>
      <c r="R16" s="217" t="str">
        <f ca="1">IF(ISERROR($V16),"",OFFSET('Smelter Look-up'!$C$4,$V16-4,0)&amp;"")</f>
        <v/>
      </c>
      <c r="S16" s="225" t="str">
        <f t="shared" ca="1" si="3"/>
        <v/>
      </c>
      <c r="T16" s="225" t="str">
        <f ca="1">IF(B16="","",IF(ISERROR(MATCH($J16,SorP!$B$1:$B$6230,0)),"",INDIRECT("'SorP'!$A$"&amp;MATCH($J16,SorP!$B$1:$B$6230,0))))</f>
        <v/>
      </c>
      <c r="U16" s="241"/>
      <c r="V16" s="275" t="e">
        <f>IF(C16="",NA(),MATCH($B16&amp;$C16,'Smelter Look-up'!$J:$J,0))</f>
        <v>#N/A</v>
      </c>
      <c r="W16" s="276"/>
      <c r="X16" s="276">
        <f t="shared" ca="1" si="4"/>
        <v>0</v>
      </c>
      <c r="Y16" s="276"/>
      <c r="Z16" s="276"/>
      <c r="AB16" s="278" t="str">
        <f t="shared" si="5"/>
        <v/>
      </c>
    </row>
    <row r="17" spans="1:28" s="277" customFormat="1" ht="19.95" customHeight="1">
      <c r="A17" s="332"/>
      <c r="B17" s="217" t="str">
        <f>IF(LEN(A17)=0,"",INDEX('Smelter Look-up'!$A:$A,MATCH($A17,'Smelter Look-up'!$E:$E,0)))</f>
        <v/>
      </c>
      <c r="C17" s="221" t="str">
        <f>IF(LEN(A17)=0,"",INDEX('Smelter Look-up'!$C:$C,MATCH($A17,'Smelter Look-up'!$E:$E,0)))</f>
        <v/>
      </c>
      <c r="D17" s="283"/>
      <c r="E17" s="217" t="str">
        <f ca="1">IF(ISERROR($V17),"",OFFSET('Smelter Look-up'!$D$4,$V17-4,0)&amp;"")</f>
        <v/>
      </c>
      <c r="F17" s="217" t="str">
        <f ca="1">IF(ISERROR($V17),"",OFFSET('Smelter Look-up'!$E$4,$V17-4,0))</f>
        <v/>
      </c>
      <c r="G17" s="217" t="str">
        <f ca="1">IF(C17=$X$4,"Enter smelter details",IF(ISERROR($V17),"",OFFSET('Smelter Look-up'!$F$4,$V17-4,0)))</f>
        <v/>
      </c>
      <c r="H17" s="218" t="str">
        <f ca="1">IF(ISERROR($V17),"",OFFSET('Smelter Look-up'!$G$4,$V17-4,0))</f>
        <v/>
      </c>
      <c r="I17" s="219" t="str">
        <f ca="1">IF(ISERROR($V17),"",OFFSET('Smelter Look-up'!$H$4,$V17-4,0))</f>
        <v/>
      </c>
      <c r="J17" s="219" t="str">
        <f ca="1">IF(ISERROR($V17),"",OFFSET('Smelter Look-up'!$I$4,$V17-4,0))</f>
        <v/>
      </c>
      <c r="K17" s="273"/>
      <c r="L17" s="273"/>
      <c r="M17" s="273"/>
      <c r="N17" s="273"/>
      <c r="O17" s="273"/>
      <c r="P17" s="220"/>
      <c r="Q17" s="274"/>
      <c r="R17" s="217" t="str">
        <f ca="1">IF(ISERROR($V17),"",OFFSET('Smelter Look-up'!$C$4,$V17-4,0)&amp;"")</f>
        <v/>
      </c>
      <c r="S17" s="225" t="str">
        <f t="shared" ca="1" si="3"/>
        <v/>
      </c>
      <c r="T17" s="225" t="str">
        <f ca="1">IF(B17="","",IF(ISERROR(MATCH($J17,SorP!$B$1:$B$6230,0)),"",INDIRECT("'SorP'!$A$"&amp;MATCH($J17,SorP!$B$1:$B$6230,0))))</f>
        <v/>
      </c>
      <c r="U17" s="241"/>
      <c r="V17" s="275" t="e">
        <f>IF(C17="",NA(),MATCH($B17&amp;$C17,'Smelter Look-up'!$J:$J,0))</f>
        <v>#N/A</v>
      </c>
      <c r="W17" s="276"/>
      <c r="X17" s="276">
        <f t="shared" ca="1" si="4"/>
        <v>0</v>
      </c>
      <c r="Y17" s="276"/>
      <c r="Z17" s="276"/>
      <c r="AB17" s="278" t="str">
        <f t="shared" si="5"/>
        <v/>
      </c>
    </row>
    <row r="18" spans="1:28" s="277" customFormat="1" ht="19.95" customHeight="1">
      <c r="A18" s="216"/>
      <c r="B18" s="217" t="str">
        <f>IF(LEN(A18)=0,"",INDEX('Smelter Look-up'!$A:$A,MATCH($A18,'Smelter Look-up'!$E:$E,0)))</f>
        <v/>
      </c>
      <c r="C18" s="221" t="str">
        <f>IF(LEN(A18)=0,"",INDEX('Smelter Look-up'!$C:$C,MATCH($A18,'Smelter Look-up'!$E:$E,0)))</f>
        <v/>
      </c>
      <c r="D18" s="283"/>
      <c r="E18" s="217" t="str">
        <f ca="1">IF(ISERROR($V18),"",OFFSET('Smelter Look-up'!$D$4,$V18-4,0)&amp;"")</f>
        <v/>
      </c>
      <c r="F18" s="217" t="str">
        <f ca="1">IF(ISERROR($V18),"",OFFSET('Smelter Look-up'!$E$4,$V18-4,0))</f>
        <v/>
      </c>
      <c r="G18" s="217" t="str">
        <f ca="1">IF(C18=$X$4,"Enter smelter details",IF(ISERROR($V18),"",OFFSET('Smelter Look-up'!$F$4,$V18-4,0)))</f>
        <v/>
      </c>
      <c r="H18" s="218" t="str">
        <f ca="1">IF(ISERROR($V18),"",OFFSET('Smelter Look-up'!$G$4,$V18-4,0))</f>
        <v/>
      </c>
      <c r="I18" s="219" t="str">
        <f ca="1">IF(ISERROR($V18),"",OFFSET('Smelter Look-up'!$H$4,$V18-4,0))</f>
        <v/>
      </c>
      <c r="J18" s="219" t="str">
        <f ca="1">IF(ISERROR($V18),"",OFFSET('Smelter Look-up'!$I$4,$V18-4,0))</f>
        <v/>
      </c>
      <c r="K18" s="273"/>
      <c r="L18" s="273"/>
      <c r="M18" s="273"/>
      <c r="N18" s="273"/>
      <c r="O18" s="273"/>
      <c r="P18" s="220"/>
      <c r="Q18" s="274"/>
      <c r="R18" s="217" t="str">
        <f ca="1">IF(ISERROR($V18),"",OFFSET('Smelter Look-up'!$C$4,$V18-4,0)&amp;"")</f>
        <v/>
      </c>
      <c r="S18" s="225" t="str">
        <f t="shared" ca="1" si="3"/>
        <v/>
      </c>
      <c r="T18" s="225" t="str">
        <f ca="1">IF(B18="","",IF(ISERROR(MATCH($J18,SorP!$B$1:$B$6230,0)),"",INDIRECT("'SorP'!$A$"&amp;MATCH($J18,SorP!$B$1:$B$6230,0))))</f>
        <v/>
      </c>
      <c r="U18" s="241"/>
      <c r="V18" s="275" t="e">
        <f>IF(C18="",NA(),MATCH($B18&amp;$C18,'Smelter Look-up'!$J:$J,0))</f>
        <v>#N/A</v>
      </c>
      <c r="W18" s="276"/>
      <c r="X18" s="276">
        <f t="shared" ca="1" si="4"/>
        <v>0</v>
      </c>
      <c r="Y18" s="276"/>
      <c r="Z18" s="276"/>
      <c r="AB18" s="278" t="str">
        <f t="shared" si="5"/>
        <v/>
      </c>
    </row>
    <row r="19" spans="1:28" s="277" customFormat="1" ht="20.399999999999999">
      <c r="A19" s="216"/>
      <c r="B19" s="217" t="str">
        <f>IF(LEN(A19)=0,"",INDEX('Smelter Look-up'!$A:$A,MATCH($A19,'Smelter Look-up'!$E:$E,0)))</f>
        <v/>
      </c>
      <c r="C19" s="221" t="str">
        <f>IF(LEN(A19)=0,"",INDEX('Smelter Look-up'!$C:$C,MATCH($A19,'Smelter Look-up'!$E:$E,0)))</f>
        <v/>
      </c>
      <c r="D19" s="283"/>
      <c r="E19" s="217" t="str">
        <f ca="1">IF(ISERROR($V19),"",OFFSET('Smelter Look-up'!$D$4,$V19-4,0)&amp;"")</f>
        <v/>
      </c>
      <c r="F19" s="217" t="str">
        <f ca="1">IF(ISERROR($V19),"",OFFSET('Smelter Look-up'!$E$4,$V19-4,0))</f>
        <v/>
      </c>
      <c r="G19" s="217" t="str">
        <f ca="1">IF(C19=$X$4,"Enter smelter details",IF(ISERROR($V19),"",OFFSET('Smelter Look-up'!$F$4,$V19-4,0)))</f>
        <v/>
      </c>
      <c r="H19" s="218" t="str">
        <f ca="1">IF(ISERROR($V19),"",OFFSET('Smelter Look-up'!$G$4,$V19-4,0))</f>
        <v/>
      </c>
      <c r="I19" s="219" t="str">
        <f ca="1">IF(ISERROR($V19),"",OFFSET('Smelter Look-up'!$H$4,$V19-4,0))</f>
        <v/>
      </c>
      <c r="J19" s="219" t="str">
        <f ca="1">IF(ISERROR($V19),"",OFFSET('Smelter Look-up'!$I$4,$V19-4,0))</f>
        <v/>
      </c>
      <c r="K19" s="273"/>
      <c r="L19" s="273"/>
      <c r="M19" s="273"/>
      <c r="N19" s="273"/>
      <c r="O19" s="273"/>
      <c r="P19" s="220"/>
      <c r="Q19" s="274"/>
      <c r="R19" s="217" t="str">
        <f ca="1">IF(ISERROR($V19),"",OFFSET('Smelter Look-up'!$C$4,$V19-4,0)&amp;"")</f>
        <v/>
      </c>
      <c r="S19" s="225" t="str">
        <f t="shared" ca="1" si="3"/>
        <v/>
      </c>
      <c r="T19" s="225" t="str">
        <f ca="1">IF(B19="","",IF(ISERROR(MATCH($J19,SorP!$B$1:$B$6230,0)),"",INDIRECT("'SorP'!$A$"&amp;MATCH($J19,SorP!$B$1:$B$6230,0))))</f>
        <v/>
      </c>
      <c r="U19" s="241"/>
      <c r="V19" s="275" t="e">
        <f>IF(C19="",NA(),MATCH($B19&amp;$C19,'Smelter Look-up'!$J:$J,0))</f>
        <v>#N/A</v>
      </c>
      <c r="W19" s="276"/>
      <c r="X19" s="276">
        <f t="shared" ca="1" si="4"/>
        <v>0</v>
      </c>
      <c r="Y19" s="276"/>
      <c r="Z19" s="276"/>
      <c r="AB19" s="278" t="str">
        <f t="shared" si="5"/>
        <v/>
      </c>
    </row>
    <row r="20" spans="1:28" s="277" customFormat="1" ht="20.399999999999999">
      <c r="A20" s="216"/>
      <c r="B20" s="217" t="str">
        <f>IF(LEN(A20)=0,"",INDEX('Smelter Look-up'!$A:$A,MATCH($A20,'Smelter Look-up'!$E:$E,0)))</f>
        <v/>
      </c>
      <c r="C20" s="221" t="str">
        <f>IF(LEN(A20)=0,"",INDEX('Smelter Look-up'!$C:$C,MATCH($A20,'Smelter Look-up'!$E:$E,0)))</f>
        <v/>
      </c>
      <c r="D20" s="283"/>
      <c r="E20" s="217" t="str">
        <f ca="1">IF(ISERROR($V20),"",OFFSET('Smelter Look-up'!$D$4,$V20-4,0)&amp;"")</f>
        <v/>
      </c>
      <c r="F20" s="217" t="str">
        <f ca="1">IF(ISERROR($V20),"",OFFSET('Smelter Look-up'!$E$4,$V20-4,0))</f>
        <v/>
      </c>
      <c r="G20" s="217" t="str">
        <f ca="1">IF(C20=$X$4,"Enter smelter details",IF(ISERROR($V20),"",OFFSET('Smelter Look-up'!$F$4,$V20-4,0)))</f>
        <v/>
      </c>
      <c r="H20" s="218" t="str">
        <f ca="1">IF(ISERROR($V20),"",OFFSET('Smelter Look-up'!$G$4,$V20-4,0))</f>
        <v/>
      </c>
      <c r="I20" s="219" t="str">
        <f ca="1">IF(ISERROR($V20),"",OFFSET('Smelter Look-up'!$H$4,$V20-4,0))</f>
        <v/>
      </c>
      <c r="J20" s="219" t="str">
        <f ca="1">IF(ISERROR($V20),"",OFFSET('Smelter Look-up'!$I$4,$V20-4,0))</f>
        <v/>
      </c>
      <c r="K20" s="273"/>
      <c r="L20" s="273"/>
      <c r="M20" s="273"/>
      <c r="N20" s="273"/>
      <c r="O20" s="273"/>
      <c r="P20" s="220"/>
      <c r="Q20" s="274"/>
      <c r="R20" s="217" t="str">
        <f ca="1">IF(ISERROR($V20),"",OFFSET('Smelter Look-up'!$C$4,$V20-4,0)&amp;"")</f>
        <v/>
      </c>
      <c r="S20" s="225" t="str">
        <f t="shared" ca="1" si="3"/>
        <v/>
      </c>
      <c r="T20" s="225" t="str">
        <f ca="1">IF(B20="","",IF(ISERROR(MATCH($J20,SorP!$B$1:$B$6230,0)),"",INDIRECT("'SorP'!$A$"&amp;MATCH($J20,SorP!$B$1:$B$6230,0))))</f>
        <v/>
      </c>
      <c r="U20" s="241"/>
      <c r="V20" s="275" t="e">
        <f>IF(C20="",NA(),MATCH($B20&amp;$C20,'Smelter Look-up'!$J:$J,0))</f>
        <v>#N/A</v>
      </c>
      <c r="W20" s="276"/>
      <c r="X20" s="276">
        <f t="shared" ca="1" si="4"/>
        <v>0</v>
      </c>
      <c r="Y20" s="276"/>
      <c r="Z20" s="276"/>
      <c r="AB20" s="278" t="str">
        <f t="shared" si="5"/>
        <v/>
      </c>
    </row>
    <row r="21" spans="1:28" s="277" customFormat="1" ht="20.399999999999999">
      <c r="A21" s="216"/>
      <c r="B21" s="217" t="str">
        <f>IF(LEN(A21)=0,"",INDEX('Smelter Look-up'!$A:$A,MATCH($A21,'Smelter Look-up'!$E:$E,0)))</f>
        <v/>
      </c>
      <c r="C21" s="221" t="str">
        <f>IF(LEN(A21)=0,"",INDEX('Smelter Look-up'!$C:$C,MATCH($A21,'Smelter Look-up'!$E:$E,0)))</f>
        <v/>
      </c>
      <c r="D21" s="283"/>
      <c r="E21" s="217" t="str">
        <f ca="1">IF(ISERROR($V21),"",OFFSET('Smelter Look-up'!$D$4,$V21-4,0)&amp;"")</f>
        <v/>
      </c>
      <c r="F21" s="217" t="str">
        <f ca="1">IF(ISERROR($V21),"",OFFSET('Smelter Look-up'!$E$4,$V21-4,0))</f>
        <v/>
      </c>
      <c r="G21" s="217" t="str">
        <f ca="1">IF(C21=$X$4,"Enter smelter details",IF(ISERROR($V21),"",OFFSET('Smelter Look-up'!$F$4,$V21-4,0)))</f>
        <v/>
      </c>
      <c r="H21" s="218" t="str">
        <f ca="1">IF(ISERROR($V21),"",OFFSET('Smelter Look-up'!$G$4,$V21-4,0))</f>
        <v/>
      </c>
      <c r="I21" s="219" t="str">
        <f ca="1">IF(ISERROR($V21),"",OFFSET('Smelter Look-up'!$H$4,$V21-4,0))</f>
        <v/>
      </c>
      <c r="J21" s="219" t="str">
        <f ca="1">IF(ISERROR($V21),"",OFFSET('Smelter Look-up'!$I$4,$V21-4,0))</f>
        <v/>
      </c>
      <c r="K21" s="273"/>
      <c r="L21" s="273"/>
      <c r="M21" s="273"/>
      <c r="N21" s="273"/>
      <c r="O21" s="273"/>
      <c r="P21" s="220"/>
      <c r="Q21" s="274"/>
      <c r="R21" s="217" t="str">
        <f ca="1">IF(ISERROR($V21),"",OFFSET('Smelter Look-up'!$C$4,$V21-4,0)&amp;"")</f>
        <v/>
      </c>
      <c r="S21" s="225" t="str">
        <f t="shared" ca="1" si="3"/>
        <v/>
      </c>
      <c r="T21" s="225" t="str">
        <f ca="1">IF(B21="","",IF(ISERROR(MATCH($J21,SorP!$B$1:$B$6230,0)),"",INDIRECT("'SorP'!$A$"&amp;MATCH($J21,SorP!$B$1:$B$6230,0))))</f>
        <v/>
      </c>
      <c r="U21" s="241"/>
      <c r="V21" s="275" t="e">
        <f>IF(C21="",NA(),MATCH($B21&amp;$C21,'Smelter Look-up'!$J:$J,0))</f>
        <v>#N/A</v>
      </c>
      <c r="W21" s="276"/>
      <c r="X21" s="276">
        <f t="shared" ca="1" si="4"/>
        <v>0</v>
      </c>
      <c r="Y21" s="276"/>
      <c r="Z21" s="276"/>
      <c r="AB21" s="278" t="str">
        <f t="shared" si="5"/>
        <v/>
      </c>
    </row>
    <row r="22" spans="1:28" s="277" customFormat="1" ht="20.399999999999999">
      <c r="A22" s="216"/>
      <c r="B22" s="217" t="str">
        <f>IF(LEN(A22)=0,"",INDEX('Smelter Look-up'!$A:$A,MATCH($A22,'Smelter Look-up'!$E:$E,0)))</f>
        <v/>
      </c>
      <c r="C22" s="221" t="str">
        <f>IF(LEN(A22)=0,"",INDEX('Smelter Look-up'!$C:$C,MATCH($A22,'Smelter Look-up'!$E:$E,0)))</f>
        <v/>
      </c>
      <c r="D22" s="283"/>
      <c r="E22" s="217" t="str">
        <f ca="1">IF(ISERROR($V22),"",OFFSET('Smelter Look-up'!$D$4,$V22-4,0)&amp;"")</f>
        <v/>
      </c>
      <c r="F22" s="217" t="str">
        <f ca="1">IF(ISERROR($V22),"",OFFSET('Smelter Look-up'!$E$4,$V22-4,0))</f>
        <v/>
      </c>
      <c r="G22" s="217" t="str">
        <f ca="1">IF(C22=$X$4,"Enter smelter details",IF(ISERROR($V22),"",OFFSET('Smelter Look-up'!$F$4,$V22-4,0)))</f>
        <v/>
      </c>
      <c r="H22" s="218" t="str">
        <f ca="1">IF(ISERROR($V22),"",OFFSET('Smelter Look-up'!$G$4,$V22-4,0))</f>
        <v/>
      </c>
      <c r="I22" s="219" t="str">
        <f ca="1">IF(ISERROR($V22),"",OFFSET('Smelter Look-up'!$H$4,$V22-4,0))</f>
        <v/>
      </c>
      <c r="J22" s="219" t="str">
        <f ca="1">IF(ISERROR($V22),"",OFFSET('Smelter Look-up'!$I$4,$V22-4,0))</f>
        <v/>
      </c>
      <c r="K22" s="273"/>
      <c r="L22" s="273"/>
      <c r="M22" s="273"/>
      <c r="N22" s="273"/>
      <c r="O22" s="273"/>
      <c r="P22" s="220"/>
      <c r="Q22" s="274"/>
      <c r="R22" s="217" t="str">
        <f ca="1">IF(ISERROR($V22),"",OFFSET('Smelter Look-up'!$C$4,$V22-4,0)&amp;"")</f>
        <v/>
      </c>
      <c r="S22" s="225" t="str">
        <f t="shared" ca="1" si="3"/>
        <v/>
      </c>
      <c r="T22" s="225" t="str">
        <f ca="1">IF(B22="","",IF(ISERROR(MATCH($J22,SorP!$B$1:$B$6230,0)),"",INDIRECT("'SorP'!$A$"&amp;MATCH($J22,SorP!$B$1:$B$6230,0))))</f>
        <v/>
      </c>
      <c r="U22" s="241"/>
      <c r="V22" s="275" t="e">
        <f>IF(C22="",NA(),MATCH($B22&amp;$C22,'Smelter Look-up'!$J:$J,0))</f>
        <v>#N/A</v>
      </c>
      <c r="W22" s="276"/>
      <c r="X22" s="276">
        <f t="shared" ca="1" si="4"/>
        <v>0</v>
      </c>
      <c r="Y22" s="276"/>
      <c r="Z22" s="276"/>
      <c r="AB22" s="278" t="str">
        <f t="shared" si="5"/>
        <v/>
      </c>
    </row>
    <row r="23" spans="1:28" s="277" customFormat="1" ht="20.399999999999999">
      <c r="A23" s="216"/>
      <c r="B23" s="217" t="str">
        <f>IF(LEN(A23)=0,"",INDEX('Smelter Look-up'!$A:$A,MATCH($A23,'Smelter Look-up'!$E:$E,0)))</f>
        <v/>
      </c>
      <c r="C23" s="221" t="str">
        <f>IF(LEN(A23)=0,"",INDEX('Smelter Look-up'!$C:$C,MATCH($A23,'Smelter Look-up'!$E:$E,0)))</f>
        <v/>
      </c>
      <c r="D23" s="283"/>
      <c r="E23" s="217" t="str">
        <f ca="1">IF(ISERROR($V23),"",OFFSET('Smelter Look-up'!$D$4,$V23-4,0)&amp;"")</f>
        <v/>
      </c>
      <c r="F23" s="217" t="str">
        <f ca="1">IF(ISERROR($V23),"",OFFSET('Smelter Look-up'!$E$4,$V23-4,0))</f>
        <v/>
      </c>
      <c r="G23" s="217" t="str">
        <f ca="1">IF(C23=$X$4,"Enter smelter details",IF(ISERROR($V23),"",OFFSET('Smelter Look-up'!$F$4,$V23-4,0)))</f>
        <v/>
      </c>
      <c r="H23" s="218" t="str">
        <f ca="1">IF(ISERROR($V23),"",OFFSET('Smelter Look-up'!$G$4,$V23-4,0))</f>
        <v/>
      </c>
      <c r="I23" s="219" t="str">
        <f ca="1">IF(ISERROR($V23),"",OFFSET('Smelter Look-up'!$H$4,$V23-4,0))</f>
        <v/>
      </c>
      <c r="J23" s="219" t="str">
        <f ca="1">IF(ISERROR($V23),"",OFFSET('Smelter Look-up'!$I$4,$V23-4,0))</f>
        <v/>
      </c>
      <c r="K23" s="273"/>
      <c r="L23" s="273"/>
      <c r="M23" s="273"/>
      <c r="N23" s="273"/>
      <c r="O23" s="273"/>
      <c r="P23" s="220"/>
      <c r="Q23" s="274"/>
      <c r="R23" s="217" t="str">
        <f ca="1">IF(ISERROR($V23),"",OFFSET('Smelter Look-up'!$C$4,$V23-4,0)&amp;"")</f>
        <v/>
      </c>
      <c r="S23" s="225" t="str">
        <f t="shared" ca="1" si="3"/>
        <v/>
      </c>
      <c r="T23" s="225" t="str">
        <f ca="1">IF(B23="","",IF(ISERROR(MATCH($J23,SorP!$B$1:$B$6230,0)),"",INDIRECT("'SorP'!$A$"&amp;MATCH($J23,SorP!$B$1:$B$6230,0))))</f>
        <v/>
      </c>
      <c r="U23" s="241"/>
      <c r="V23" s="275" t="e">
        <f>IF(C23="",NA(),MATCH($B23&amp;$C23,'Smelter Look-up'!$J:$J,0))</f>
        <v>#N/A</v>
      </c>
      <c r="W23" s="276"/>
      <c r="X23" s="276">
        <f t="shared" ca="1" si="4"/>
        <v>0</v>
      </c>
      <c r="Y23" s="276"/>
      <c r="Z23" s="276"/>
      <c r="AB23" s="278" t="str">
        <f t="shared" si="5"/>
        <v/>
      </c>
    </row>
    <row r="24" spans="1:28" s="277" customFormat="1" ht="20.399999999999999">
      <c r="A24" s="216"/>
      <c r="B24" s="217" t="str">
        <f>IF(LEN(A24)=0,"",INDEX('Smelter Look-up'!$A:$A,MATCH($A24,'Smelter Look-up'!$E:$E,0)))</f>
        <v/>
      </c>
      <c r="C24" s="221" t="str">
        <f>IF(LEN(A24)=0,"",INDEX('Smelter Look-up'!$C:$C,MATCH($A24,'Smelter Look-up'!$E:$E,0)))</f>
        <v/>
      </c>
      <c r="D24" s="283"/>
      <c r="E24" s="217" t="str">
        <f ca="1">IF(ISERROR($V24),"",OFFSET('Smelter Look-up'!$D$4,$V24-4,0)&amp;"")</f>
        <v/>
      </c>
      <c r="F24" s="217" t="str">
        <f ca="1">IF(ISERROR($V24),"",OFFSET('Smelter Look-up'!$E$4,$V24-4,0))</f>
        <v/>
      </c>
      <c r="G24" s="217" t="str">
        <f ca="1">IF(C24=$X$4,"Enter smelter details",IF(ISERROR($V24),"",OFFSET('Smelter Look-up'!$F$4,$V24-4,0)))</f>
        <v/>
      </c>
      <c r="H24" s="218" t="str">
        <f ca="1">IF(ISERROR($V24),"",OFFSET('Smelter Look-up'!$G$4,$V24-4,0))</f>
        <v/>
      </c>
      <c r="I24" s="219" t="str">
        <f ca="1">IF(ISERROR($V24),"",OFFSET('Smelter Look-up'!$H$4,$V24-4,0))</f>
        <v/>
      </c>
      <c r="J24" s="219" t="str">
        <f ca="1">IF(ISERROR($V24),"",OFFSET('Smelter Look-up'!$I$4,$V24-4,0))</f>
        <v/>
      </c>
      <c r="K24" s="273"/>
      <c r="L24" s="273"/>
      <c r="M24" s="273"/>
      <c r="N24" s="273"/>
      <c r="O24" s="273"/>
      <c r="P24" s="220"/>
      <c r="Q24" s="274"/>
      <c r="R24" s="217" t="str">
        <f ca="1">IF(ISERROR($V24),"",OFFSET('Smelter Look-up'!$C$4,$V24-4,0)&amp;"")</f>
        <v/>
      </c>
      <c r="S24" s="225" t="str">
        <f t="shared" ca="1" si="3"/>
        <v/>
      </c>
      <c r="T24" s="225" t="str">
        <f ca="1">IF(B24="","",IF(ISERROR(MATCH($J24,SorP!$B$1:$B$6230,0)),"",INDIRECT("'SorP'!$A$"&amp;MATCH($J24,SorP!$B$1:$B$6230,0))))</f>
        <v/>
      </c>
      <c r="U24" s="241"/>
      <c r="V24" s="275" t="e">
        <f>IF(C24="",NA(),MATCH($B24&amp;$C24,'Smelter Look-up'!$J:$J,0))</f>
        <v>#N/A</v>
      </c>
      <c r="W24" s="276"/>
      <c r="X24" s="276">
        <f t="shared" ca="1" si="4"/>
        <v>0</v>
      </c>
      <c r="Y24" s="276"/>
      <c r="Z24" s="276"/>
      <c r="AB24" s="278" t="str">
        <f t="shared" si="5"/>
        <v/>
      </c>
    </row>
    <row r="25" spans="1:28" s="277" customFormat="1" ht="20.399999999999999">
      <c r="A25" s="216"/>
      <c r="B25" s="217" t="str">
        <f>IF(LEN(A25)=0,"",INDEX('Smelter Look-up'!$A:$A,MATCH($A25,'Smelter Look-up'!$E:$E,0)))</f>
        <v/>
      </c>
      <c r="C25" s="221" t="str">
        <f>IF(LEN(A25)=0,"",INDEX('Smelter Look-up'!$C:$C,MATCH($A25,'Smelter Look-up'!$E:$E,0)))</f>
        <v/>
      </c>
      <c r="D25" s="283"/>
      <c r="E25" s="217" t="str">
        <f ca="1">IF(ISERROR($V25),"",OFFSET('Smelter Look-up'!$D$4,$V25-4,0)&amp;"")</f>
        <v/>
      </c>
      <c r="F25" s="217" t="str">
        <f ca="1">IF(ISERROR($V25),"",OFFSET('Smelter Look-up'!$E$4,$V25-4,0))</f>
        <v/>
      </c>
      <c r="G25" s="217" t="str">
        <f ca="1">IF(C25=$X$4,"Enter smelter details",IF(ISERROR($V25),"",OFFSET('Smelter Look-up'!$F$4,$V25-4,0)))</f>
        <v/>
      </c>
      <c r="H25" s="218" t="str">
        <f ca="1">IF(ISERROR($V25),"",OFFSET('Smelter Look-up'!$G$4,$V25-4,0))</f>
        <v/>
      </c>
      <c r="I25" s="219" t="str">
        <f ca="1">IF(ISERROR($V25),"",OFFSET('Smelter Look-up'!$H$4,$V25-4,0))</f>
        <v/>
      </c>
      <c r="J25" s="219" t="str">
        <f ca="1">IF(ISERROR($V25),"",OFFSET('Smelter Look-up'!$I$4,$V25-4,0))</f>
        <v/>
      </c>
      <c r="K25" s="273"/>
      <c r="L25" s="273"/>
      <c r="M25" s="273"/>
      <c r="N25" s="273"/>
      <c r="O25" s="273"/>
      <c r="P25" s="220"/>
      <c r="Q25" s="274"/>
      <c r="R25" s="217" t="str">
        <f ca="1">IF(ISERROR($V25),"",OFFSET('Smelter Look-up'!$C$4,$V25-4,0)&amp;"")</f>
        <v/>
      </c>
      <c r="S25" s="225" t="str">
        <f t="shared" ca="1" si="3"/>
        <v/>
      </c>
      <c r="T25" s="225" t="str">
        <f ca="1">IF(B25="","",IF(ISERROR(MATCH($J25,SorP!$B$1:$B$6230,0)),"",INDIRECT("'SorP'!$A$"&amp;MATCH($J25,SorP!$B$1:$B$6230,0))))</f>
        <v/>
      </c>
      <c r="U25" s="241"/>
      <c r="V25" s="275" t="e">
        <f>IF(C25="",NA(),MATCH($B25&amp;$C25,'Smelter Look-up'!$J:$J,0))</f>
        <v>#N/A</v>
      </c>
      <c r="W25" s="276"/>
      <c r="X25" s="276">
        <f t="shared" ca="1" si="4"/>
        <v>0</v>
      </c>
      <c r="Y25" s="276"/>
      <c r="Z25" s="276"/>
      <c r="AB25" s="278" t="str">
        <f t="shared" si="5"/>
        <v/>
      </c>
    </row>
    <row r="26" spans="1:28" s="277" customFormat="1" ht="20.399999999999999">
      <c r="A26" s="216"/>
      <c r="B26" s="217" t="str">
        <f>IF(LEN(A26)=0,"",INDEX('Smelter Look-up'!$A:$A,MATCH($A26,'Smelter Look-up'!$E:$E,0)))</f>
        <v/>
      </c>
      <c r="C26" s="221" t="str">
        <f>IF(LEN(A26)=0,"",INDEX('Smelter Look-up'!$C:$C,MATCH($A26,'Smelter Look-up'!$E:$E,0)))</f>
        <v/>
      </c>
      <c r="D26" s="283"/>
      <c r="E26" s="217" t="str">
        <f ca="1">IF(ISERROR($V26),"",OFFSET('Smelter Look-up'!$D$4,$V26-4,0)&amp;"")</f>
        <v/>
      </c>
      <c r="F26" s="217" t="str">
        <f ca="1">IF(ISERROR($V26),"",OFFSET('Smelter Look-up'!$E$4,$V26-4,0))</f>
        <v/>
      </c>
      <c r="G26" s="217" t="str">
        <f ca="1">IF(C26=$X$4,"Enter smelter details",IF(ISERROR($V26),"",OFFSET('Smelter Look-up'!$F$4,$V26-4,0)))</f>
        <v/>
      </c>
      <c r="H26" s="218" t="str">
        <f ca="1">IF(ISERROR($V26),"",OFFSET('Smelter Look-up'!$G$4,$V26-4,0))</f>
        <v/>
      </c>
      <c r="I26" s="219" t="str">
        <f ca="1">IF(ISERROR($V26),"",OFFSET('Smelter Look-up'!$H$4,$V26-4,0))</f>
        <v/>
      </c>
      <c r="J26" s="219" t="str">
        <f ca="1">IF(ISERROR($V26),"",OFFSET('Smelter Look-up'!$I$4,$V26-4,0))</f>
        <v/>
      </c>
      <c r="K26" s="273"/>
      <c r="L26" s="273"/>
      <c r="M26" s="273"/>
      <c r="N26" s="273"/>
      <c r="O26" s="273"/>
      <c r="P26" s="220"/>
      <c r="Q26" s="274"/>
      <c r="R26" s="217" t="str">
        <f ca="1">IF(ISERROR($V26),"",OFFSET('Smelter Look-up'!$C$4,$V26-4,0)&amp;"")</f>
        <v/>
      </c>
      <c r="S26" s="225" t="str">
        <f t="shared" ca="1" si="3"/>
        <v/>
      </c>
      <c r="T26" s="225" t="str">
        <f ca="1">IF(B26="","",IF(ISERROR(MATCH($J26,SorP!$B$1:$B$6230,0)),"",INDIRECT("'SorP'!$A$"&amp;MATCH($J26,SorP!$B$1:$B$6230,0))))</f>
        <v/>
      </c>
      <c r="U26" s="241"/>
      <c r="V26" s="275" t="e">
        <f>IF(C26="",NA(),MATCH($B26&amp;$C26,'Smelter Look-up'!$J:$J,0))</f>
        <v>#N/A</v>
      </c>
      <c r="W26" s="276"/>
      <c r="X26" s="276">
        <f t="shared" ca="1" si="4"/>
        <v>0</v>
      </c>
      <c r="Y26" s="276"/>
      <c r="Z26" s="276"/>
      <c r="AB26" s="278" t="str">
        <f t="shared" si="5"/>
        <v/>
      </c>
    </row>
    <row r="27" spans="1:28" s="277" customFormat="1" ht="20.399999999999999">
      <c r="A27" s="216"/>
      <c r="B27" s="217" t="str">
        <f>IF(LEN(A27)=0,"",INDEX('Smelter Look-up'!$A:$A,MATCH($A27,'Smelter Look-up'!$E:$E,0)))</f>
        <v/>
      </c>
      <c r="C27" s="221" t="str">
        <f>IF(LEN(A27)=0,"",INDEX('Smelter Look-up'!$C:$C,MATCH($A27,'Smelter Look-up'!$E:$E,0)))</f>
        <v/>
      </c>
      <c r="D27" s="283"/>
      <c r="E27" s="217" t="str">
        <f ca="1">IF(ISERROR($V27),"",OFFSET('Smelter Look-up'!$D$4,$V27-4,0)&amp;"")</f>
        <v/>
      </c>
      <c r="F27" s="217" t="str">
        <f ca="1">IF(ISERROR($V27),"",OFFSET('Smelter Look-up'!$E$4,$V27-4,0))</f>
        <v/>
      </c>
      <c r="G27" s="217" t="str">
        <f ca="1">IF(C27=$X$4,"Enter smelter details",IF(ISERROR($V27),"",OFFSET('Smelter Look-up'!$F$4,$V27-4,0)))</f>
        <v/>
      </c>
      <c r="H27" s="218" t="str">
        <f ca="1">IF(ISERROR($V27),"",OFFSET('Smelter Look-up'!$G$4,$V27-4,0))</f>
        <v/>
      </c>
      <c r="I27" s="219" t="str">
        <f ca="1">IF(ISERROR($V27),"",OFFSET('Smelter Look-up'!$H$4,$V27-4,0))</f>
        <v/>
      </c>
      <c r="J27" s="219" t="str">
        <f ca="1">IF(ISERROR($V27),"",OFFSET('Smelter Look-up'!$I$4,$V27-4,0))</f>
        <v/>
      </c>
      <c r="K27" s="273"/>
      <c r="L27" s="273"/>
      <c r="M27" s="273"/>
      <c r="N27" s="273"/>
      <c r="O27" s="273"/>
      <c r="P27" s="220"/>
      <c r="Q27" s="274"/>
      <c r="R27" s="217" t="str">
        <f ca="1">IF(ISERROR($V27),"",OFFSET('Smelter Look-up'!$C$4,$V27-4,0)&amp;"")</f>
        <v/>
      </c>
      <c r="S27" s="225" t="str">
        <f t="shared" ca="1" si="3"/>
        <v/>
      </c>
      <c r="T27" s="225" t="str">
        <f ca="1">IF(B27="","",IF(ISERROR(MATCH($J27,SorP!$B$1:$B$6230,0)),"",INDIRECT("'SorP'!$A$"&amp;MATCH($J27,SorP!$B$1:$B$6230,0))))</f>
        <v/>
      </c>
      <c r="U27" s="241"/>
      <c r="V27" s="275" t="e">
        <f>IF(C27="",NA(),MATCH($B27&amp;$C27,'Smelter Look-up'!$J:$J,0))</f>
        <v>#N/A</v>
      </c>
      <c r="W27" s="276"/>
      <c r="X27" s="276">
        <f t="shared" ca="1" si="4"/>
        <v>0</v>
      </c>
      <c r="Y27" s="276"/>
      <c r="Z27" s="276"/>
      <c r="AB27" s="278" t="str">
        <f t="shared" si="5"/>
        <v/>
      </c>
    </row>
    <row r="28" spans="1:28" s="277" customFormat="1" ht="20.399999999999999">
      <c r="A28" s="216"/>
      <c r="B28" s="217" t="str">
        <f>IF(LEN(A28)=0,"",INDEX('Smelter Look-up'!$A:$A,MATCH($A28,'Smelter Look-up'!$E:$E,0)))</f>
        <v/>
      </c>
      <c r="C28" s="221" t="str">
        <f>IF(LEN(A28)=0,"",INDEX('Smelter Look-up'!$C:$C,MATCH($A28,'Smelter Look-up'!$E:$E,0)))</f>
        <v/>
      </c>
      <c r="D28" s="283"/>
      <c r="E28" s="217" t="str">
        <f ca="1">IF(ISERROR($V28),"",OFFSET('Smelter Look-up'!$D$4,$V28-4,0)&amp;"")</f>
        <v/>
      </c>
      <c r="F28" s="217" t="str">
        <f ca="1">IF(ISERROR($V28),"",OFFSET('Smelter Look-up'!$E$4,$V28-4,0))</f>
        <v/>
      </c>
      <c r="G28" s="217" t="str">
        <f ca="1">IF(C28=$X$4,"Enter smelter details",IF(ISERROR($V28),"",OFFSET('Smelter Look-up'!$F$4,$V28-4,0)))</f>
        <v/>
      </c>
      <c r="H28" s="218" t="str">
        <f ca="1">IF(ISERROR($V28),"",OFFSET('Smelter Look-up'!$G$4,$V28-4,0))</f>
        <v/>
      </c>
      <c r="I28" s="219" t="str">
        <f ca="1">IF(ISERROR($V28),"",OFFSET('Smelter Look-up'!$H$4,$V28-4,0))</f>
        <v/>
      </c>
      <c r="J28" s="219" t="str">
        <f ca="1">IF(ISERROR($V28),"",OFFSET('Smelter Look-up'!$I$4,$V28-4,0))</f>
        <v/>
      </c>
      <c r="K28" s="273"/>
      <c r="L28" s="273"/>
      <c r="M28" s="273"/>
      <c r="N28" s="273"/>
      <c r="O28" s="273"/>
      <c r="P28" s="220"/>
      <c r="Q28" s="274"/>
      <c r="R28" s="217" t="str">
        <f ca="1">IF(ISERROR($V28),"",OFFSET('Smelter Look-up'!$C$4,$V28-4,0)&amp;"")</f>
        <v/>
      </c>
      <c r="S28" s="225" t="str">
        <f t="shared" ca="1" si="3"/>
        <v/>
      </c>
      <c r="T28" s="225" t="str">
        <f ca="1">IF(B28="","",IF(ISERROR(MATCH($J28,SorP!$B$1:$B$6230,0)),"",INDIRECT("'SorP'!$A$"&amp;MATCH($J28,SorP!$B$1:$B$6230,0))))</f>
        <v/>
      </c>
      <c r="U28" s="241"/>
      <c r="V28" s="275" t="e">
        <f>IF(C28="",NA(),MATCH($B28&amp;$C28,'Smelter Look-up'!$J:$J,0))</f>
        <v>#N/A</v>
      </c>
      <c r="W28" s="276"/>
      <c r="X28" s="276">
        <f t="shared" ca="1" si="4"/>
        <v>0</v>
      </c>
      <c r="Y28" s="276"/>
      <c r="Z28" s="276"/>
      <c r="AB28" s="278" t="str">
        <f t="shared" si="5"/>
        <v/>
      </c>
    </row>
    <row r="29" spans="1:28" s="277" customFormat="1" ht="20.399999999999999">
      <c r="A29" s="216"/>
      <c r="B29" s="217" t="str">
        <f>IF(LEN(A29)=0,"",INDEX('Smelter Look-up'!$A:$A,MATCH($A29,'Smelter Look-up'!$E:$E,0)))</f>
        <v/>
      </c>
      <c r="C29" s="221" t="str">
        <f>IF(LEN(A29)=0,"",INDEX('Smelter Look-up'!$C:$C,MATCH($A29,'Smelter Look-up'!$E:$E,0)))</f>
        <v/>
      </c>
      <c r="D29" s="283"/>
      <c r="E29" s="217" t="str">
        <f ca="1">IF(ISERROR($V29),"",OFFSET('Smelter Look-up'!$D$4,$V29-4,0)&amp;"")</f>
        <v/>
      </c>
      <c r="F29" s="217" t="str">
        <f ca="1">IF(ISERROR($V29),"",OFFSET('Smelter Look-up'!$E$4,$V29-4,0))</f>
        <v/>
      </c>
      <c r="G29" s="217" t="str">
        <f ca="1">IF(C29=$X$4,"Enter smelter details",IF(ISERROR($V29),"",OFFSET('Smelter Look-up'!$F$4,$V29-4,0)))</f>
        <v/>
      </c>
      <c r="H29" s="218" t="str">
        <f ca="1">IF(ISERROR($V29),"",OFFSET('Smelter Look-up'!$G$4,$V29-4,0))</f>
        <v/>
      </c>
      <c r="I29" s="219" t="str">
        <f ca="1">IF(ISERROR($V29),"",OFFSET('Smelter Look-up'!$H$4,$V29-4,0))</f>
        <v/>
      </c>
      <c r="J29" s="219" t="str">
        <f ca="1">IF(ISERROR($V29),"",OFFSET('Smelter Look-up'!$I$4,$V29-4,0))</f>
        <v/>
      </c>
      <c r="K29" s="273"/>
      <c r="L29" s="273"/>
      <c r="M29" s="273"/>
      <c r="N29" s="273"/>
      <c r="O29" s="273"/>
      <c r="P29" s="220"/>
      <c r="Q29" s="274"/>
      <c r="R29" s="217" t="str">
        <f ca="1">IF(ISERROR($V29),"",OFFSET('Smelter Look-up'!$C$4,$V29-4,0)&amp;"")</f>
        <v/>
      </c>
      <c r="S29" s="225" t="str">
        <f t="shared" ca="1" si="3"/>
        <v/>
      </c>
      <c r="T29" s="225" t="str">
        <f ca="1">IF(B29="","",IF(ISERROR(MATCH($J29,SorP!$B$1:$B$6230,0)),"",INDIRECT("'SorP'!$A$"&amp;MATCH($J29,SorP!$B$1:$B$6230,0))))</f>
        <v/>
      </c>
      <c r="U29" s="241"/>
      <c r="V29" s="275" t="e">
        <f>IF(C29="",NA(),MATCH($B29&amp;$C29,'Smelter Look-up'!$J:$J,0))</f>
        <v>#N/A</v>
      </c>
      <c r="W29" s="276"/>
      <c r="X29" s="276">
        <f t="shared" ca="1" si="4"/>
        <v>0</v>
      </c>
      <c r="Y29" s="276"/>
      <c r="Z29" s="276"/>
      <c r="AB29" s="278" t="str">
        <f t="shared" si="5"/>
        <v/>
      </c>
    </row>
    <row r="30" spans="1:28" s="277" customFormat="1" ht="20.399999999999999">
      <c r="A30" s="216"/>
      <c r="B30" s="217" t="str">
        <f>IF(LEN(A30)=0,"",INDEX('Smelter Look-up'!$A:$A,MATCH($A30,'Smelter Look-up'!$E:$E,0)))</f>
        <v/>
      </c>
      <c r="C30" s="221" t="str">
        <f>IF(LEN(A30)=0,"",INDEX('Smelter Look-up'!$C:$C,MATCH($A30,'Smelter Look-up'!$E:$E,0)))</f>
        <v/>
      </c>
      <c r="D30" s="283"/>
      <c r="E30" s="217" t="str">
        <f ca="1">IF(ISERROR($V30),"",OFFSET('Smelter Look-up'!$D$4,$V30-4,0)&amp;"")</f>
        <v/>
      </c>
      <c r="F30" s="217" t="str">
        <f ca="1">IF(ISERROR($V30),"",OFFSET('Smelter Look-up'!$E$4,$V30-4,0))</f>
        <v/>
      </c>
      <c r="G30" s="217" t="str">
        <f ca="1">IF(C30=$X$4,"Enter smelter details",IF(ISERROR($V30),"",OFFSET('Smelter Look-up'!$F$4,$V30-4,0)))</f>
        <v/>
      </c>
      <c r="H30" s="218" t="str">
        <f ca="1">IF(ISERROR($V30),"",OFFSET('Smelter Look-up'!$G$4,$V30-4,0))</f>
        <v/>
      </c>
      <c r="I30" s="219" t="str">
        <f ca="1">IF(ISERROR($V30),"",OFFSET('Smelter Look-up'!$H$4,$V30-4,0))</f>
        <v/>
      </c>
      <c r="J30" s="219" t="str">
        <f ca="1">IF(ISERROR($V30),"",OFFSET('Smelter Look-up'!$I$4,$V30-4,0))</f>
        <v/>
      </c>
      <c r="K30" s="273"/>
      <c r="L30" s="273"/>
      <c r="M30" s="273"/>
      <c r="N30" s="273"/>
      <c r="O30" s="273"/>
      <c r="P30" s="220"/>
      <c r="Q30" s="274"/>
      <c r="R30" s="217" t="str">
        <f ca="1">IF(ISERROR($V30),"",OFFSET('Smelter Look-up'!$C$4,$V30-4,0)&amp;"")</f>
        <v/>
      </c>
      <c r="S30" s="225" t="str">
        <f t="shared" ca="1" si="3"/>
        <v/>
      </c>
      <c r="T30" s="225" t="str">
        <f ca="1">IF(B30="","",IF(ISERROR(MATCH($J30,SorP!$B$1:$B$6230,0)),"",INDIRECT("'SorP'!$A$"&amp;MATCH($J30,SorP!$B$1:$B$6230,0))))</f>
        <v/>
      </c>
      <c r="U30" s="241"/>
      <c r="V30" s="275" t="e">
        <f>IF(C30="",NA(),MATCH($B30&amp;$C30,'Smelter Look-up'!$J:$J,0))</f>
        <v>#N/A</v>
      </c>
      <c r="W30" s="276"/>
      <c r="X30" s="276">
        <f t="shared" ca="1" si="4"/>
        <v>0</v>
      </c>
      <c r="Y30" s="276"/>
      <c r="Z30" s="276"/>
      <c r="AB30" s="278" t="str">
        <f t="shared" si="5"/>
        <v/>
      </c>
    </row>
    <row r="31" spans="1:28" s="277" customFormat="1" ht="20.399999999999999">
      <c r="A31" s="216"/>
      <c r="B31" s="217" t="str">
        <f>IF(LEN(A31)=0,"",INDEX('Smelter Look-up'!$A:$A,MATCH($A31,'Smelter Look-up'!$E:$E,0)))</f>
        <v/>
      </c>
      <c r="C31" s="221" t="str">
        <f>IF(LEN(A31)=0,"",INDEX('Smelter Look-up'!$C:$C,MATCH($A31,'Smelter Look-up'!$E:$E,0)))</f>
        <v/>
      </c>
      <c r="D31" s="283"/>
      <c r="E31" s="217" t="str">
        <f ca="1">IF(ISERROR($V31),"",OFFSET('Smelter Look-up'!$D$4,$V31-4,0)&amp;"")</f>
        <v/>
      </c>
      <c r="F31" s="217" t="str">
        <f ca="1">IF(ISERROR($V31),"",OFFSET('Smelter Look-up'!$E$4,$V31-4,0))</f>
        <v/>
      </c>
      <c r="G31" s="217" t="str">
        <f ca="1">IF(C31=$X$4,"Enter smelter details",IF(ISERROR($V31),"",OFFSET('Smelter Look-up'!$F$4,$V31-4,0)))</f>
        <v/>
      </c>
      <c r="H31" s="218" t="str">
        <f ca="1">IF(ISERROR($V31),"",OFFSET('Smelter Look-up'!$G$4,$V31-4,0))</f>
        <v/>
      </c>
      <c r="I31" s="219" t="str">
        <f ca="1">IF(ISERROR($V31),"",OFFSET('Smelter Look-up'!$H$4,$V31-4,0))</f>
        <v/>
      </c>
      <c r="J31" s="219" t="str">
        <f ca="1">IF(ISERROR($V31),"",OFFSET('Smelter Look-up'!$I$4,$V31-4,0))</f>
        <v/>
      </c>
      <c r="K31" s="273"/>
      <c r="L31" s="273"/>
      <c r="M31" s="273"/>
      <c r="N31" s="273"/>
      <c r="O31" s="273"/>
      <c r="P31" s="220"/>
      <c r="Q31" s="274"/>
      <c r="R31" s="217" t="str">
        <f ca="1">IF(ISERROR($V31),"",OFFSET('Smelter Look-up'!$C$4,$V31-4,0)&amp;"")</f>
        <v/>
      </c>
      <c r="S31" s="225" t="str">
        <f t="shared" ca="1" si="3"/>
        <v/>
      </c>
      <c r="T31" s="225" t="str">
        <f ca="1">IF(B31="","",IF(ISERROR(MATCH($J31,SorP!$B$1:$B$6230,0)),"",INDIRECT("'SorP'!$A$"&amp;MATCH($J31,SorP!$B$1:$B$6230,0))))</f>
        <v/>
      </c>
      <c r="U31" s="241"/>
      <c r="V31" s="275" t="e">
        <f>IF(C31="",NA(),MATCH($B31&amp;$C31,'Smelter Look-up'!$J:$J,0))</f>
        <v>#N/A</v>
      </c>
      <c r="W31" s="276"/>
      <c r="X31" s="276">
        <f t="shared" ca="1" si="4"/>
        <v>0</v>
      </c>
      <c r="Y31" s="276"/>
      <c r="Z31" s="276"/>
      <c r="AB31" s="278" t="str">
        <f t="shared" si="5"/>
        <v/>
      </c>
    </row>
    <row r="32" spans="1:28" s="277" customFormat="1" ht="20.399999999999999">
      <c r="A32" s="216"/>
      <c r="B32" s="217" t="str">
        <f>IF(LEN(A32)=0,"",INDEX('Smelter Look-up'!$A:$A,MATCH($A32,'Smelter Look-up'!$E:$E,0)))</f>
        <v/>
      </c>
      <c r="C32" s="221" t="str">
        <f>IF(LEN(A32)=0,"",INDEX('Smelter Look-up'!$C:$C,MATCH($A32,'Smelter Look-up'!$E:$E,0)))</f>
        <v/>
      </c>
      <c r="D32" s="283"/>
      <c r="E32" s="217" t="str">
        <f ca="1">IF(ISERROR($V32),"",OFFSET('Smelter Look-up'!$D$4,$V32-4,0)&amp;"")</f>
        <v/>
      </c>
      <c r="F32" s="217" t="str">
        <f ca="1">IF(ISERROR($V32),"",OFFSET('Smelter Look-up'!$E$4,$V32-4,0))</f>
        <v/>
      </c>
      <c r="G32" s="217" t="str">
        <f ca="1">IF(C32=$X$4,"Enter smelter details",IF(ISERROR($V32),"",OFFSET('Smelter Look-up'!$F$4,$V32-4,0)))</f>
        <v/>
      </c>
      <c r="H32" s="218" t="str">
        <f ca="1">IF(ISERROR($V32),"",OFFSET('Smelter Look-up'!$G$4,$V32-4,0))</f>
        <v/>
      </c>
      <c r="I32" s="219" t="str">
        <f ca="1">IF(ISERROR($V32),"",OFFSET('Smelter Look-up'!$H$4,$V32-4,0))</f>
        <v/>
      </c>
      <c r="J32" s="219" t="str">
        <f ca="1">IF(ISERROR($V32),"",OFFSET('Smelter Look-up'!$I$4,$V32-4,0))</f>
        <v/>
      </c>
      <c r="K32" s="273"/>
      <c r="L32" s="273"/>
      <c r="M32" s="273"/>
      <c r="N32" s="273"/>
      <c r="O32" s="273"/>
      <c r="P32" s="220"/>
      <c r="Q32" s="274"/>
      <c r="R32" s="217" t="str">
        <f ca="1">IF(ISERROR($V32),"",OFFSET('Smelter Look-up'!$C$4,$V32-4,0)&amp;"")</f>
        <v/>
      </c>
      <c r="S32" s="225" t="str">
        <f t="shared" ca="1" si="3"/>
        <v/>
      </c>
      <c r="T32" s="225" t="str">
        <f ca="1">IF(B32="","",IF(ISERROR(MATCH($J32,SorP!$B$1:$B$6230,0)),"",INDIRECT("'SorP'!$A$"&amp;MATCH($J32,SorP!$B$1:$B$6230,0))))</f>
        <v/>
      </c>
      <c r="U32" s="241"/>
      <c r="V32" s="275" t="e">
        <f>IF(C32="",NA(),MATCH($B32&amp;$C32,'Smelter Look-up'!$J:$J,0))</f>
        <v>#N/A</v>
      </c>
      <c r="W32" s="276"/>
      <c r="X32" s="276">
        <f t="shared" ca="1" si="4"/>
        <v>0</v>
      </c>
      <c r="Y32" s="276"/>
      <c r="Z32" s="276"/>
      <c r="AB32" s="278" t="str">
        <f t="shared" si="5"/>
        <v/>
      </c>
    </row>
    <row r="33" spans="1:28" s="277" customFormat="1" ht="20.399999999999999">
      <c r="A33" s="216"/>
      <c r="B33" s="217" t="str">
        <f>IF(LEN(A33)=0,"",INDEX('Smelter Look-up'!$A:$A,MATCH($A33,'Smelter Look-up'!$E:$E,0)))</f>
        <v/>
      </c>
      <c r="C33" s="221" t="str">
        <f>IF(LEN(A33)=0,"",INDEX('Smelter Look-up'!$C:$C,MATCH($A33,'Smelter Look-up'!$E:$E,0)))</f>
        <v/>
      </c>
      <c r="D33" s="283"/>
      <c r="E33" s="217" t="str">
        <f ca="1">IF(ISERROR($V33),"",OFFSET('Smelter Look-up'!$D$4,$V33-4,0)&amp;"")</f>
        <v/>
      </c>
      <c r="F33" s="217" t="str">
        <f ca="1">IF(ISERROR($V33),"",OFFSET('Smelter Look-up'!$E$4,$V33-4,0))</f>
        <v/>
      </c>
      <c r="G33" s="217" t="str">
        <f ca="1">IF(C33=$X$4,"Enter smelter details",IF(ISERROR($V33),"",OFFSET('Smelter Look-up'!$F$4,$V33-4,0)))</f>
        <v/>
      </c>
      <c r="H33" s="218" t="str">
        <f ca="1">IF(ISERROR($V33),"",OFFSET('Smelter Look-up'!$G$4,$V33-4,0))</f>
        <v/>
      </c>
      <c r="I33" s="219" t="str">
        <f ca="1">IF(ISERROR($V33),"",OFFSET('Smelter Look-up'!$H$4,$V33-4,0))</f>
        <v/>
      </c>
      <c r="J33" s="219" t="str">
        <f ca="1">IF(ISERROR($V33),"",OFFSET('Smelter Look-up'!$I$4,$V33-4,0))</f>
        <v/>
      </c>
      <c r="K33" s="273"/>
      <c r="L33" s="273"/>
      <c r="M33" s="273"/>
      <c r="N33" s="273"/>
      <c r="O33" s="273"/>
      <c r="P33" s="220"/>
      <c r="Q33" s="274"/>
      <c r="R33" s="217" t="str">
        <f ca="1">IF(ISERROR($V33),"",OFFSET('Smelter Look-up'!$C$4,$V33-4,0)&amp;"")</f>
        <v/>
      </c>
      <c r="S33" s="225" t="str">
        <f t="shared" ca="1" si="3"/>
        <v/>
      </c>
      <c r="T33" s="225" t="str">
        <f ca="1">IF(B33="","",IF(ISERROR(MATCH($J33,SorP!$B$1:$B$6230,0)),"",INDIRECT("'SorP'!$A$"&amp;MATCH($J33,SorP!$B$1:$B$6230,0))))</f>
        <v/>
      </c>
      <c r="U33" s="241"/>
      <c r="V33" s="275" t="e">
        <f>IF(C33="",NA(),MATCH($B33&amp;$C33,'Smelter Look-up'!$J:$J,0))</f>
        <v>#N/A</v>
      </c>
      <c r="W33" s="276"/>
      <c r="X33" s="276">
        <f t="shared" ca="1" si="4"/>
        <v>0</v>
      </c>
      <c r="Y33" s="276"/>
      <c r="Z33" s="276"/>
      <c r="AB33" s="278" t="str">
        <f t="shared" si="5"/>
        <v/>
      </c>
    </row>
    <row r="34" spans="1:28" s="277" customFormat="1" ht="20.399999999999999">
      <c r="A34" s="216"/>
      <c r="B34" s="217" t="str">
        <f>IF(LEN(A34)=0,"",INDEX('Smelter Look-up'!$A:$A,MATCH($A34,'Smelter Look-up'!$E:$E,0)))</f>
        <v/>
      </c>
      <c r="C34" s="221" t="str">
        <f>IF(LEN(A34)=0,"",INDEX('Smelter Look-up'!$C:$C,MATCH($A34,'Smelter Look-up'!$E:$E,0)))</f>
        <v/>
      </c>
      <c r="D34" s="283"/>
      <c r="E34" s="217" t="str">
        <f ca="1">IF(ISERROR($V34),"",OFFSET('Smelter Look-up'!$D$4,$V34-4,0)&amp;"")</f>
        <v/>
      </c>
      <c r="F34" s="217" t="str">
        <f ca="1">IF(ISERROR($V34),"",OFFSET('Smelter Look-up'!$E$4,$V34-4,0))</f>
        <v/>
      </c>
      <c r="G34" s="217" t="str">
        <f ca="1">IF(C34=$X$4,"Enter smelter details",IF(ISERROR($V34),"",OFFSET('Smelter Look-up'!$F$4,$V34-4,0)))</f>
        <v/>
      </c>
      <c r="H34" s="218" t="str">
        <f ca="1">IF(ISERROR($V34),"",OFFSET('Smelter Look-up'!$G$4,$V34-4,0))</f>
        <v/>
      </c>
      <c r="I34" s="219" t="str">
        <f ca="1">IF(ISERROR($V34),"",OFFSET('Smelter Look-up'!$H$4,$V34-4,0))</f>
        <v/>
      </c>
      <c r="J34" s="219" t="str">
        <f ca="1">IF(ISERROR($V34),"",OFFSET('Smelter Look-up'!$I$4,$V34-4,0))</f>
        <v/>
      </c>
      <c r="K34" s="273"/>
      <c r="L34" s="273"/>
      <c r="M34" s="273"/>
      <c r="N34" s="273"/>
      <c r="O34" s="273"/>
      <c r="P34" s="220"/>
      <c r="Q34" s="274"/>
      <c r="R34" s="217" t="str">
        <f ca="1">IF(ISERROR($V34),"",OFFSET('Smelter Look-up'!$C$4,$V34-4,0)&amp;"")</f>
        <v/>
      </c>
      <c r="S34" s="225" t="str">
        <f t="shared" ca="1" si="3"/>
        <v/>
      </c>
      <c r="T34" s="225" t="str">
        <f ca="1">IF(B34="","",IF(ISERROR(MATCH($J34,SorP!$B$1:$B$6230,0)),"",INDIRECT("'SorP'!$A$"&amp;MATCH($J34,SorP!$B$1:$B$6230,0))))</f>
        <v/>
      </c>
      <c r="U34" s="241"/>
      <c r="V34" s="275" t="e">
        <f>IF(C34="",NA(),MATCH($B34&amp;$C34,'Smelter Look-up'!$J:$J,0))</f>
        <v>#N/A</v>
      </c>
      <c r="W34" s="276"/>
      <c r="X34" s="276">
        <f t="shared" ca="1" si="4"/>
        <v>0</v>
      </c>
      <c r="Y34" s="276"/>
      <c r="Z34" s="276"/>
      <c r="AB34" s="278" t="str">
        <f t="shared" si="5"/>
        <v/>
      </c>
    </row>
    <row r="35" spans="1:28" s="277" customFormat="1" ht="20.399999999999999">
      <c r="A35" s="216"/>
      <c r="B35" s="217" t="str">
        <f>IF(LEN(A35)=0,"",INDEX('Smelter Look-up'!$A:$A,MATCH($A35,'Smelter Look-up'!$E:$E,0)))</f>
        <v/>
      </c>
      <c r="C35" s="221" t="str">
        <f>IF(LEN(A35)=0,"",INDEX('Smelter Look-up'!$C:$C,MATCH($A35,'Smelter Look-up'!$E:$E,0)))</f>
        <v/>
      </c>
      <c r="D35" s="283"/>
      <c r="E35" s="217" t="str">
        <f ca="1">IF(ISERROR($V35),"",OFFSET('Smelter Look-up'!$D$4,$V35-4,0)&amp;"")</f>
        <v/>
      </c>
      <c r="F35" s="217" t="str">
        <f ca="1">IF(ISERROR($V35),"",OFFSET('Smelter Look-up'!$E$4,$V35-4,0))</f>
        <v/>
      </c>
      <c r="G35" s="217" t="str">
        <f ca="1">IF(C35=$X$4,"Enter smelter details",IF(ISERROR($V35),"",OFFSET('Smelter Look-up'!$F$4,$V35-4,0)))</f>
        <v/>
      </c>
      <c r="H35" s="218" t="str">
        <f ca="1">IF(ISERROR($V35),"",OFFSET('Smelter Look-up'!$G$4,$V35-4,0))</f>
        <v/>
      </c>
      <c r="I35" s="219" t="str">
        <f ca="1">IF(ISERROR($V35),"",OFFSET('Smelter Look-up'!$H$4,$V35-4,0))</f>
        <v/>
      </c>
      <c r="J35" s="219" t="str">
        <f ca="1">IF(ISERROR($V35),"",OFFSET('Smelter Look-up'!$I$4,$V35-4,0))</f>
        <v/>
      </c>
      <c r="K35" s="273"/>
      <c r="L35" s="273"/>
      <c r="M35" s="273"/>
      <c r="N35" s="273"/>
      <c r="O35" s="273"/>
      <c r="P35" s="220"/>
      <c r="Q35" s="274"/>
      <c r="R35" s="217" t="str">
        <f ca="1">IF(ISERROR($V35),"",OFFSET('Smelter Look-up'!$C$4,$V35-4,0)&amp;"")</f>
        <v/>
      </c>
      <c r="S35" s="225" t="str">
        <f t="shared" ca="1" si="3"/>
        <v/>
      </c>
      <c r="T35" s="225" t="str">
        <f ca="1">IF(B35="","",IF(ISERROR(MATCH($J35,SorP!$B$1:$B$6230,0)),"",INDIRECT("'SorP'!$A$"&amp;MATCH($J35,SorP!$B$1:$B$6230,0))))</f>
        <v/>
      </c>
      <c r="U35" s="241"/>
      <c r="V35" s="275" t="e">
        <f>IF(C35="",NA(),MATCH($B35&amp;$C35,'Smelter Look-up'!$J:$J,0))</f>
        <v>#N/A</v>
      </c>
      <c r="W35" s="276"/>
      <c r="X35" s="276">
        <f t="shared" ca="1" si="4"/>
        <v>0</v>
      </c>
      <c r="Y35" s="276"/>
      <c r="Z35" s="276"/>
      <c r="AB35" s="278" t="str">
        <f t="shared" si="5"/>
        <v/>
      </c>
    </row>
    <row r="36" spans="1:28" s="277" customFormat="1" ht="20.399999999999999">
      <c r="A36" s="216"/>
      <c r="B36" s="217" t="str">
        <f>IF(LEN(A36)=0,"",INDEX('Smelter Look-up'!$A:$A,MATCH($A36,'Smelter Look-up'!$E:$E,0)))</f>
        <v/>
      </c>
      <c r="C36" s="221" t="str">
        <f>IF(LEN(A36)=0,"",INDEX('Smelter Look-up'!$C:$C,MATCH($A36,'Smelter Look-up'!$E:$E,0)))</f>
        <v/>
      </c>
      <c r="D36" s="283"/>
      <c r="E36" s="217" t="str">
        <f ca="1">IF(ISERROR($V36),"",OFFSET('Smelter Look-up'!$D$4,$V36-4,0)&amp;"")</f>
        <v/>
      </c>
      <c r="F36" s="217" t="str">
        <f ca="1">IF(ISERROR($V36),"",OFFSET('Smelter Look-up'!$E$4,$V36-4,0))</f>
        <v/>
      </c>
      <c r="G36" s="217" t="str">
        <f ca="1">IF(C36=$X$4,"Enter smelter details",IF(ISERROR($V36),"",OFFSET('Smelter Look-up'!$F$4,$V36-4,0)))</f>
        <v/>
      </c>
      <c r="H36" s="218" t="str">
        <f ca="1">IF(ISERROR($V36),"",OFFSET('Smelter Look-up'!$G$4,$V36-4,0))</f>
        <v/>
      </c>
      <c r="I36" s="219" t="str">
        <f ca="1">IF(ISERROR($V36),"",OFFSET('Smelter Look-up'!$H$4,$V36-4,0))</f>
        <v/>
      </c>
      <c r="J36" s="219" t="str">
        <f ca="1">IF(ISERROR($V36),"",OFFSET('Smelter Look-up'!$I$4,$V36-4,0))</f>
        <v/>
      </c>
      <c r="K36" s="273"/>
      <c r="L36" s="273"/>
      <c r="M36" s="273"/>
      <c r="N36" s="273"/>
      <c r="O36" s="273"/>
      <c r="P36" s="220"/>
      <c r="Q36" s="274"/>
      <c r="R36" s="217" t="str">
        <f ca="1">IF(ISERROR($V36),"",OFFSET('Smelter Look-up'!$C$4,$V36-4,0)&amp;"")</f>
        <v/>
      </c>
      <c r="S36" s="225" t="str">
        <f t="shared" ca="1" si="3"/>
        <v/>
      </c>
      <c r="T36" s="225" t="str">
        <f ca="1">IF(B36="","",IF(ISERROR(MATCH($J36,SorP!$B$1:$B$6230,0)),"",INDIRECT("'SorP'!$A$"&amp;MATCH($J36,SorP!$B$1:$B$6230,0))))</f>
        <v/>
      </c>
      <c r="U36" s="241"/>
      <c r="V36" s="275" t="e">
        <f>IF(C36="",NA(),MATCH($B36&amp;$C36,'Smelter Look-up'!$J:$J,0))</f>
        <v>#N/A</v>
      </c>
      <c r="W36" s="276"/>
      <c r="X36" s="276">
        <f t="shared" ca="1" si="4"/>
        <v>0</v>
      </c>
      <c r="Y36" s="276"/>
      <c r="Z36" s="276"/>
      <c r="AB36" s="278" t="str">
        <f t="shared" si="5"/>
        <v/>
      </c>
    </row>
    <row r="37" spans="1:28" s="277" customFormat="1" ht="20.399999999999999">
      <c r="A37" s="216"/>
      <c r="B37" s="217" t="str">
        <f>IF(LEN(A37)=0,"",INDEX('Smelter Look-up'!$A:$A,MATCH($A37,'Smelter Look-up'!$E:$E,0)))</f>
        <v/>
      </c>
      <c r="C37" s="221" t="str">
        <f>IF(LEN(A37)=0,"",INDEX('Smelter Look-up'!$C:$C,MATCH($A37,'Smelter Look-up'!$E:$E,0)))</f>
        <v/>
      </c>
      <c r="D37" s="283"/>
      <c r="E37" s="217" t="str">
        <f ca="1">IF(ISERROR($V37),"",OFFSET('Smelter Look-up'!$D$4,$V37-4,0)&amp;"")</f>
        <v/>
      </c>
      <c r="F37" s="217" t="str">
        <f ca="1">IF(ISERROR($V37),"",OFFSET('Smelter Look-up'!$E$4,$V37-4,0))</f>
        <v/>
      </c>
      <c r="G37" s="217" t="str">
        <f ca="1">IF(C37=$X$4,"Enter smelter details",IF(ISERROR($V37),"",OFFSET('Smelter Look-up'!$F$4,$V37-4,0)))</f>
        <v/>
      </c>
      <c r="H37" s="218" t="str">
        <f ca="1">IF(ISERROR($V37),"",OFFSET('Smelter Look-up'!$G$4,$V37-4,0))</f>
        <v/>
      </c>
      <c r="I37" s="219" t="str">
        <f ca="1">IF(ISERROR($V37),"",OFFSET('Smelter Look-up'!$H$4,$V37-4,0))</f>
        <v/>
      </c>
      <c r="J37" s="219" t="str">
        <f ca="1">IF(ISERROR($V37),"",OFFSET('Smelter Look-up'!$I$4,$V37-4,0))</f>
        <v/>
      </c>
      <c r="K37" s="273"/>
      <c r="L37" s="273"/>
      <c r="M37" s="273"/>
      <c r="N37" s="273"/>
      <c r="O37" s="273"/>
      <c r="P37" s="220"/>
      <c r="Q37" s="274"/>
      <c r="R37" s="217" t="str">
        <f ca="1">IF(ISERROR($V37),"",OFFSET('Smelter Look-up'!$C$4,$V37-4,0)&amp;"")</f>
        <v/>
      </c>
      <c r="S37" s="225" t="str">
        <f t="shared" ca="1" si="3"/>
        <v/>
      </c>
      <c r="T37" s="225" t="str">
        <f ca="1">IF(B37="","",IF(ISERROR(MATCH($J37,SorP!$B$1:$B$6230,0)),"",INDIRECT("'SorP'!$A$"&amp;MATCH($J37,SorP!$B$1:$B$6230,0))))</f>
        <v/>
      </c>
      <c r="U37" s="241"/>
      <c r="V37" s="275" t="e">
        <f>IF(C37="",NA(),MATCH($B37&amp;$C37,'Smelter Look-up'!$J:$J,0))</f>
        <v>#N/A</v>
      </c>
      <c r="W37" s="276"/>
      <c r="X37" s="276">
        <f t="shared" ca="1" si="4"/>
        <v>0</v>
      </c>
      <c r="Y37" s="276"/>
      <c r="Z37" s="276"/>
      <c r="AB37" s="278" t="str">
        <f t="shared" si="5"/>
        <v/>
      </c>
    </row>
    <row r="38" spans="1:28" s="277" customFormat="1" ht="20.399999999999999">
      <c r="A38" s="216"/>
      <c r="B38" s="217" t="str">
        <f>IF(LEN(A38)=0,"",INDEX('Smelter Look-up'!$A:$A,MATCH($A38,'Smelter Look-up'!$E:$E,0)))</f>
        <v/>
      </c>
      <c r="C38" s="221" t="str">
        <f>IF(LEN(A38)=0,"",INDEX('Smelter Look-up'!$C:$C,MATCH($A38,'Smelter Look-up'!$E:$E,0)))</f>
        <v/>
      </c>
      <c r="D38" s="283"/>
      <c r="E38" s="217" t="str">
        <f ca="1">IF(ISERROR($V38),"",OFFSET('Smelter Look-up'!$D$4,$V38-4,0)&amp;"")</f>
        <v/>
      </c>
      <c r="F38" s="217" t="str">
        <f ca="1">IF(ISERROR($V38),"",OFFSET('Smelter Look-up'!$E$4,$V38-4,0))</f>
        <v/>
      </c>
      <c r="G38" s="217" t="str">
        <f ca="1">IF(C38=$X$4,"Enter smelter details",IF(ISERROR($V38),"",OFFSET('Smelter Look-up'!$F$4,$V38-4,0)))</f>
        <v/>
      </c>
      <c r="H38" s="218" t="str">
        <f ca="1">IF(ISERROR($V38),"",OFFSET('Smelter Look-up'!$G$4,$V38-4,0))</f>
        <v/>
      </c>
      <c r="I38" s="219" t="str">
        <f ca="1">IF(ISERROR($V38),"",OFFSET('Smelter Look-up'!$H$4,$V38-4,0))</f>
        <v/>
      </c>
      <c r="J38" s="219" t="str">
        <f ca="1">IF(ISERROR($V38),"",OFFSET('Smelter Look-up'!$I$4,$V38-4,0))</f>
        <v/>
      </c>
      <c r="K38" s="273"/>
      <c r="L38" s="273"/>
      <c r="M38" s="273"/>
      <c r="N38" s="273"/>
      <c r="O38" s="273"/>
      <c r="P38" s="220"/>
      <c r="Q38" s="274"/>
      <c r="R38" s="217" t="str">
        <f ca="1">IF(ISERROR($V38),"",OFFSET('Smelter Look-up'!$C$4,$V38-4,0)&amp;"")</f>
        <v/>
      </c>
      <c r="S38" s="225" t="str">
        <f t="shared" ref="S38:S68" ca="1" si="6">IF(B38="","",IF(ISERROR(MATCH($E38,CL,0)),"Unknown",INDIRECT("'C'!$A$"&amp;MATCH($E38,CL,0)+1)))</f>
        <v/>
      </c>
      <c r="T38" s="225" t="str">
        <f ca="1">IF(B38="","",IF(ISERROR(MATCH($J38,SorP!$B$1:$B$6230,0)),"",INDIRECT("'SorP'!$A$"&amp;MATCH($J38,SorP!$B$1:$B$6230,0))))</f>
        <v/>
      </c>
      <c r="U38" s="241"/>
      <c r="V38" s="275" t="e">
        <f>IF(C38="",NA(),MATCH($B38&amp;$C38,'Smelter Look-up'!$J:$J,0))</f>
        <v>#N/A</v>
      </c>
      <c r="W38" s="276"/>
      <c r="X38" s="276">
        <f t="shared" ref="X38:X68" ca="1" si="7">IF(AND(C38="Smelter not listed",OR(LEN(D38)=0,LEN(E38)=0)),1,0)</f>
        <v>0</v>
      </c>
      <c r="Y38" s="276"/>
      <c r="Z38" s="276"/>
      <c r="AB38" s="278" t="str">
        <f t="shared" ref="AB38:AB68" si="8">B38&amp;C38</f>
        <v/>
      </c>
    </row>
    <row r="39" spans="1:28" s="277" customFormat="1" ht="20.399999999999999">
      <c r="A39" s="216"/>
      <c r="B39" s="217" t="str">
        <f>IF(LEN(A39)=0,"",INDEX('Smelter Look-up'!$A:$A,MATCH($A39,'Smelter Look-up'!$E:$E,0)))</f>
        <v/>
      </c>
      <c r="C39" s="221" t="str">
        <f>IF(LEN(A39)=0,"",INDEX('Smelter Look-up'!$C:$C,MATCH($A39,'Smelter Look-up'!$E:$E,0)))</f>
        <v/>
      </c>
      <c r="D39" s="283"/>
      <c r="E39" s="217" t="str">
        <f ca="1">IF(ISERROR($V39),"",OFFSET('Smelter Look-up'!$D$4,$V39-4,0)&amp;"")</f>
        <v/>
      </c>
      <c r="F39" s="217" t="str">
        <f ca="1">IF(ISERROR($V39),"",OFFSET('Smelter Look-up'!$E$4,$V39-4,0))</f>
        <v/>
      </c>
      <c r="G39" s="217" t="str">
        <f ca="1">IF(C39=$X$4,"Enter smelter details",IF(ISERROR($V39),"",OFFSET('Smelter Look-up'!$F$4,$V39-4,0)))</f>
        <v/>
      </c>
      <c r="H39" s="218" t="str">
        <f ca="1">IF(ISERROR($V39),"",OFFSET('Smelter Look-up'!$G$4,$V39-4,0))</f>
        <v/>
      </c>
      <c r="I39" s="219" t="str">
        <f ca="1">IF(ISERROR($V39),"",OFFSET('Smelter Look-up'!$H$4,$V39-4,0))</f>
        <v/>
      </c>
      <c r="J39" s="219" t="str">
        <f ca="1">IF(ISERROR($V39),"",OFFSET('Smelter Look-up'!$I$4,$V39-4,0))</f>
        <v/>
      </c>
      <c r="K39" s="273"/>
      <c r="L39" s="273"/>
      <c r="M39" s="273"/>
      <c r="N39" s="273"/>
      <c r="O39" s="273"/>
      <c r="P39" s="220"/>
      <c r="Q39" s="274"/>
      <c r="R39" s="217" t="str">
        <f ca="1">IF(ISERROR($V39),"",OFFSET('Smelter Look-up'!$C$4,$V39-4,0)&amp;"")</f>
        <v/>
      </c>
      <c r="S39" s="225" t="str">
        <f t="shared" ca="1" si="6"/>
        <v/>
      </c>
      <c r="T39" s="225" t="str">
        <f ca="1">IF(B39="","",IF(ISERROR(MATCH($J39,SorP!$B$1:$B$6230,0)),"",INDIRECT("'SorP'!$A$"&amp;MATCH($J39,SorP!$B$1:$B$6230,0))))</f>
        <v/>
      </c>
      <c r="U39" s="241"/>
      <c r="V39" s="275" t="e">
        <f>IF(C39="",NA(),MATCH($B39&amp;$C39,'Smelter Look-up'!$J:$J,0))</f>
        <v>#N/A</v>
      </c>
      <c r="W39" s="276"/>
      <c r="X39" s="276">
        <f t="shared" ca="1" si="7"/>
        <v>0</v>
      </c>
      <c r="Y39" s="276"/>
      <c r="Z39" s="276"/>
      <c r="AB39" s="278" t="str">
        <f t="shared" si="8"/>
        <v/>
      </c>
    </row>
    <row r="40" spans="1:28" s="277" customFormat="1" ht="20.399999999999999">
      <c r="A40" s="216"/>
      <c r="B40" s="217" t="str">
        <f>IF(LEN(A40)=0,"",INDEX('Smelter Look-up'!$A:$A,MATCH($A40,'Smelter Look-up'!$E:$E,0)))</f>
        <v/>
      </c>
      <c r="C40" s="221" t="str">
        <f>IF(LEN(A40)=0,"",INDEX('Smelter Look-up'!$C:$C,MATCH($A40,'Smelter Look-up'!$E:$E,0)))</f>
        <v/>
      </c>
      <c r="D40" s="283"/>
      <c r="E40" s="217" t="str">
        <f ca="1">IF(ISERROR($V40),"",OFFSET('Smelter Look-up'!$D$4,$V40-4,0)&amp;"")</f>
        <v/>
      </c>
      <c r="F40" s="217" t="str">
        <f ca="1">IF(ISERROR($V40),"",OFFSET('Smelter Look-up'!$E$4,$V40-4,0))</f>
        <v/>
      </c>
      <c r="G40" s="217" t="str">
        <f ca="1">IF(C40=$X$4,"Enter smelter details",IF(ISERROR($V40),"",OFFSET('Smelter Look-up'!$F$4,$V40-4,0)))</f>
        <v/>
      </c>
      <c r="H40" s="218" t="str">
        <f ca="1">IF(ISERROR($V40),"",OFFSET('Smelter Look-up'!$G$4,$V40-4,0))</f>
        <v/>
      </c>
      <c r="I40" s="219" t="str">
        <f ca="1">IF(ISERROR($V40),"",OFFSET('Smelter Look-up'!$H$4,$V40-4,0))</f>
        <v/>
      </c>
      <c r="J40" s="219" t="str">
        <f ca="1">IF(ISERROR($V40),"",OFFSET('Smelter Look-up'!$I$4,$V40-4,0))</f>
        <v/>
      </c>
      <c r="K40" s="273"/>
      <c r="L40" s="273"/>
      <c r="M40" s="273"/>
      <c r="N40" s="273"/>
      <c r="O40" s="273"/>
      <c r="P40" s="220"/>
      <c r="Q40" s="274"/>
      <c r="R40" s="217" t="str">
        <f ca="1">IF(ISERROR($V40),"",OFFSET('Smelter Look-up'!$C$4,$V40-4,0)&amp;"")</f>
        <v/>
      </c>
      <c r="S40" s="225" t="str">
        <f t="shared" ca="1" si="6"/>
        <v/>
      </c>
      <c r="T40" s="225" t="str">
        <f ca="1">IF(B40="","",IF(ISERROR(MATCH($J40,SorP!$B$1:$B$6230,0)),"",INDIRECT("'SorP'!$A$"&amp;MATCH($J40,SorP!$B$1:$B$6230,0))))</f>
        <v/>
      </c>
      <c r="U40" s="241"/>
      <c r="V40" s="275" t="e">
        <f>IF(C40="",NA(),MATCH($B40&amp;$C40,'Smelter Look-up'!$J:$J,0))</f>
        <v>#N/A</v>
      </c>
      <c r="W40" s="276"/>
      <c r="X40" s="276">
        <f t="shared" ca="1" si="7"/>
        <v>0</v>
      </c>
      <c r="Y40" s="276"/>
      <c r="Z40" s="276"/>
      <c r="AB40" s="278" t="str">
        <f t="shared" si="8"/>
        <v/>
      </c>
    </row>
    <row r="41" spans="1:28" s="277" customFormat="1" ht="20.399999999999999">
      <c r="A41" s="216"/>
      <c r="B41" s="217" t="str">
        <f>IF(LEN(A41)=0,"",INDEX('Smelter Look-up'!$A:$A,MATCH($A41,'Smelter Look-up'!$E:$E,0)))</f>
        <v/>
      </c>
      <c r="C41" s="221" t="str">
        <f>IF(LEN(A41)=0,"",INDEX('Smelter Look-up'!$C:$C,MATCH($A41,'Smelter Look-up'!$E:$E,0)))</f>
        <v/>
      </c>
      <c r="D41" s="283"/>
      <c r="E41" s="217" t="str">
        <f ca="1">IF(ISERROR($V41),"",OFFSET('Smelter Look-up'!$D$4,$V41-4,0)&amp;"")</f>
        <v/>
      </c>
      <c r="F41" s="217" t="str">
        <f ca="1">IF(ISERROR($V41),"",OFFSET('Smelter Look-up'!$E$4,$V41-4,0))</f>
        <v/>
      </c>
      <c r="G41" s="217" t="str">
        <f ca="1">IF(C41=$X$4,"Enter smelter details",IF(ISERROR($V41),"",OFFSET('Smelter Look-up'!$F$4,$V41-4,0)))</f>
        <v/>
      </c>
      <c r="H41" s="218" t="str">
        <f ca="1">IF(ISERROR($V41),"",OFFSET('Smelter Look-up'!$G$4,$V41-4,0))</f>
        <v/>
      </c>
      <c r="I41" s="219" t="str">
        <f ca="1">IF(ISERROR($V41),"",OFFSET('Smelter Look-up'!$H$4,$V41-4,0))</f>
        <v/>
      </c>
      <c r="J41" s="219" t="str">
        <f ca="1">IF(ISERROR($V41),"",OFFSET('Smelter Look-up'!$I$4,$V41-4,0))</f>
        <v/>
      </c>
      <c r="K41" s="273"/>
      <c r="L41" s="273"/>
      <c r="M41" s="273"/>
      <c r="N41" s="273"/>
      <c r="O41" s="273"/>
      <c r="P41" s="220"/>
      <c r="Q41" s="274"/>
      <c r="R41" s="217" t="str">
        <f ca="1">IF(ISERROR($V41),"",OFFSET('Smelter Look-up'!$C$4,$V41-4,0)&amp;"")</f>
        <v/>
      </c>
      <c r="S41" s="225" t="str">
        <f t="shared" ca="1" si="6"/>
        <v/>
      </c>
      <c r="T41" s="225" t="str">
        <f ca="1">IF(B41="","",IF(ISERROR(MATCH($J41,SorP!$B$1:$B$6230,0)),"",INDIRECT("'SorP'!$A$"&amp;MATCH($J41,SorP!$B$1:$B$6230,0))))</f>
        <v/>
      </c>
      <c r="U41" s="241"/>
      <c r="V41" s="275" t="e">
        <f>IF(C41="",NA(),MATCH($B41&amp;$C41,'Smelter Look-up'!$J:$J,0))</f>
        <v>#N/A</v>
      </c>
      <c r="W41" s="276"/>
      <c r="X41" s="276">
        <f t="shared" ca="1" si="7"/>
        <v>0</v>
      </c>
      <c r="Y41" s="276"/>
      <c r="Z41" s="276"/>
      <c r="AB41" s="278" t="str">
        <f t="shared" si="8"/>
        <v/>
      </c>
    </row>
    <row r="42" spans="1:28" s="277" customFormat="1" ht="20.399999999999999">
      <c r="A42" s="216"/>
      <c r="B42" s="217" t="str">
        <f>IF(LEN(A42)=0,"",INDEX('Smelter Look-up'!$A:$A,MATCH($A42,'Smelter Look-up'!$E:$E,0)))</f>
        <v/>
      </c>
      <c r="C42" s="221" t="str">
        <f>IF(LEN(A42)=0,"",INDEX('Smelter Look-up'!$C:$C,MATCH($A42,'Smelter Look-up'!$E:$E,0)))</f>
        <v/>
      </c>
      <c r="D42" s="283"/>
      <c r="E42" s="217" t="str">
        <f ca="1">IF(ISERROR($V42),"",OFFSET('Smelter Look-up'!$D$4,$V42-4,0)&amp;"")</f>
        <v/>
      </c>
      <c r="F42" s="217" t="str">
        <f ca="1">IF(ISERROR($V42),"",OFFSET('Smelter Look-up'!$E$4,$V42-4,0))</f>
        <v/>
      </c>
      <c r="G42" s="217" t="str">
        <f ca="1">IF(C42=$X$4,"Enter smelter details",IF(ISERROR($V42),"",OFFSET('Smelter Look-up'!$F$4,$V42-4,0)))</f>
        <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ca="1" si="6"/>
        <v/>
      </c>
      <c r="T42" s="225" t="str">
        <f ca="1">IF(B42="","",IF(ISERROR(MATCH($J42,SorP!$B$1:$B$6230,0)),"",INDIRECT("'SorP'!$A$"&amp;MATCH($J42,SorP!$B$1:$B$6230,0))))</f>
        <v/>
      </c>
      <c r="U42" s="241"/>
      <c r="V42" s="275" t="e">
        <f>IF(C42="",NA(),MATCH($B42&amp;$C42,'Smelter Look-up'!$J:$J,0))</f>
        <v>#N/A</v>
      </c>
      <c r="W42" s="276"/>
      <c r="X42" s="276">
        <f t="shared" ca="1" si="7"/>
        <v>0</v>
      </c>
      <c r="Y42" s="276"/>
      <c r="Z42" s="276"/>
      <c r="AB42" s="278" t="str">
        <f t="shared" si="8"/>
        <v/>
      </c>
    </row>
    <row r="43" spans="1:28" s="277" customFormat="1" ht="20.399999999999999">
      <c r="A43" s="216"/>
      <c r="B43" s="217" t="str">
        <f>IF(LEN(A43)=0,"",INDEX('Smelter Look-up'!$A:$A,MATCH($A43,'Smelter Look-up'!$E:$E,0)))</f>
        <v/>
      </c>
      <c r="C43" s="221" t="str">
        <f>IF(LEN(A43)=0,"",INDEX('Smelter Look-up'!$C:$C,MATCH($A43,'Smelter Look-up'!$E:$E,0)))</f>
        <v/>
      </c>
      <c r="D43" s="283"/>
      <c r="E43" s="217" t="str">
        <f ca="1">IF(ISERROR($V43),"",OFFSET('Smelter Look-up'!$D$4,$V43-4,0)&amp;"")</f>
        <v/>
      </c>
      <c r="F43" s="217" t="str">
        <f ca="1">IF(ISERROR($V43),"",OFFSET('Smelter Look-up'!$E$4,$V43-4,0))</f>
        <v/>
      </c>
      <c r="G43" s="217" t="str">
        <f ca="1">IF(C43=$X$4,"Enter smelter details",IF(ISERROR($V43),"",OFFSET('Smelter Look-up'!$F$4,$V43-4,0)))</f>
        <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6"/>
        <v/>
      </c>
      <c r="T43" s="225" t="str">
        <f ca="1">IF(B43="","",IF(ISERROR(MATCH($J43,SorP!$B$1:$B$6230,0)),"",INDIRECT("'SorP'!$A$"&amp;MATCH($J43,SorP!$B$1:$B$6230,0))))</f>
        <v/>
      </c>
      <c r="U43" s="241"/>
      <c r="V43" s="275" t="e">
        <f>IF(C43="",NA(),MATCH($B43&amp;$C43,'Smelter Look-up'!$J:$J,0))</f>
        <v>#N/A</v>
      </c>
      <c r="W43" s="276"/>
      <c r="X43" s="276">
        <f t="shared" ca="1" si="7"/>
        <v>0</v>
      </c>
      <c r="Y43" s="276"/>
      <c r="Z43" s="276"/>
      <c r="AB43" s="278" t="str">
        <f t="shared" si="8"/>
        <v/>
      </c>
    </row>
    <row r="44" spans="1:28" s="277" customFormat="1" ht="20.399999999999999">
      <c r="A44" s="216"/>
      <c r="B44" s="217" t="str">
        <f>IF(LEN(A44)=0,"",INDEX('Smelter Look-up'!$A:$A,MATCH($A44,'Smelter Look-up'!$E:$E,0)))</f>
        <v/>
      </c>
      <c r="C44" s="221" t="str">
        <f>IF(LEN(A44)=0,"",INDEX('Smelter Look-up'!$C:$C,MATCH($A44,'Smelter Look-up'!$E:$E,0)))</f>
        <v/>
      </c>
      <c r="D44" s="283"/>
      <c r="E44" s="217" t="str">
        <f ca="1">IF(ISERROR($V44),"",OFFSET('Smelter Look-up'!$D$4,$V44-4,0)&amp;"")</f>
        <v/>
      </c>
      <c r="F44" s="217" t="str">
        <f ca="1">IF(ISERROR($V44),"",OFFSET('Smelter Look-up'!$E$4,$V44-4,0))</f>
        <v/>
      </c>
      <c r="G44" s="217" t="str">
        <f ca="1">IF(C44=$X$4,"Enter smelter details",IF(ISERROR($V44),"",OFFSET('Smelter Look-up'!$F$4,$V44-4,0)))</f>
        <v/>
      </c>
      <c r="H44" s="218" t="str">
        <f ca="1">IF(ISERROR($V44),"",OFFSET('Smelter Look-up'!$G$4,$V44-4,0))</f>
        <v/>
      </c>
      <c r="I44" s="219" t="str">
        <f ca="1">IF(ISERROR($V44),"",OFFSET('Smelter Look-up'!$H$4,$V44-4,0))</f>
        <v/>
      </c>
      <c r="J44" s="219" t="str">
        <f ca="1">IF(ISERROR($V44),"",OFFSET('Smelter Look-up'!$I$4,$V44-4,0))</f>
        <v/>
      </c>
      <c r="K44" s="273"/>
      <c r="L44" s="273"/>
      <c r="M44" s="273"/>
      <c r="N44" s="273"/>
      <c r="O44" s="273"/>
      <c r="P44" s="220"/>
      <c r="Q44" s="274"/>
      <c r="R44" s="217" t="str">
        <f ca="1">IF(ISERROR($V44),"",OFFSET('Smelter Look-up'!$C$4,$V44-4,0)&amp;"")</f>
        <v/>
      </c>
      <c r="S44" s="225" t="str">
        <f t="shared" ca="1" si="6"/>
        <v/>
      </c>
      <c r="T44" s="225" t="str">
        <f ca="1">IF(B44="","",IF(ISERROR(MATCH($J44,SorP!$B$1:$B$6230,0)),"",INDIRECT("'SorP'!$A$"&amp;MATCH($J44,SorP!$B$1:$B$6230,0))))</f>
        <v/>
      </c>
      <c r="U44" s="241"/>
      <c r="V44" s="275" t="e">
        <f>IF(C44="",NA(),MATCH($B44&amp;$C44,'Smelter Look-up'!$J:$J,0))</f>
        <v>#N/A</v>
      </c>
      <c r="W44" s="276"/>
      <c r="X44" s="276">
        <f t="shared" ca="1" si="7"/>
        <v>0</v>
      </c>
      <c r="Y44" s="276"/>
      <c r="Z44" s="276"/>
      <c r="AB44" s="278" t="str">
        <f t="shared" si="8"/>
        <v/>
      </c>
    </row>
    <row r="45" spans="1:28" s="277" customFormat="1" ht="20.399999999999999">
      <c r="A45" s="216"/>
      <c r="B45" s="217" t="str">
        <f>IF(LEN(A45)=0,"",INDEX('Smelter Look-up'!$A:$A,MATCH($A45,'Smelter Look-up'!$E:$E,0)))</f>
        <v/>
      </c>
      <c r="C45" s="221" t="str">
        <f>IF(LEN(A45)=0,"",INDEX('Smelter Look-up'!$C:$C,MATCH($A45,'Smelter Look-up'!$E:$E,0)))</f>
        <v/>
      </c>
      <c r="D45" s="283"/>
      <c r="E45" s="217" t="str">
        <f ca="1">IF(ISERROR($V45),"",OFFSET('Smelter Look-up'!$D$4,$V45-4,0)&amp;"")</f>
        <v/>
      </c>
      <c r="F45" s="217" t="str">
        <f ca="1">IF(ISERROR($V45),"",OFFSET('Smelter Look-up'!$E$4,$V45-4,0))</f>
        <v/>
      </c>
      <c r="G45" s="217" t="str">
        <f ca="1">IF(C45=$X$4,"Enter smelter details",IF(ISERROR($V45),"",OFFSET('Smelter Look-up'!$F$4,$V45-4,0)))</f>
        <v/>
      </c>
      <c r="H45" s="218" t="str">
        <f ca="1">IF(ISERROR($V45),"",OFFSET('Smelter Look-up'!$G$4,$V45-4,0))</f>
        <v/>
      </c>
      <c r="I45" s="219" t="str">
        <f ca="1">IF(ISERROR($V45),"",OFFSET('Smelter Look-up'!$H$4,$V45-4,0))</f>
        <v/>
      </c>
      <c r="J45" s="219" t="str">
        <f ca="1">IF(ISERROR($V45),"",OFFSET('Smelter Look-up'!$I$4,$V45-4,0))</f>
        <v/>
      </c>
      <c r="K45" s="273"/>
      <c r="L45" s="273"/>
      <c r="M45" s="273"/>
      <c r="N45" s="273"/>
      <c r="O45" s="273"/>
      <c r="P45" s="220"/>
      <c r="Q45" s="274"/>
      <c r="R45" s="217" t="str">
        <f ca="1">IF(ISERROR($V45),"",OFFSET('Smelter Look-up'!$C$4,$V45-4,0)&amp;"")</f>
        <v/>
      </c>
      <c r="S45" s="225" t="str">
        <f t="shared" ca="1" si="6"/>
        <v/>
      </c>
      <c r="T45" s="225" t="str">
        <f ca="1">IF(B45="","",IF(ISERROR(MATCH($J45,SorP!$B$1:$B$6230,0)),"",INDIRECT("'SorP'!$A$"&amp;MATCH($J45,SorP!$B$1:$B$6230,0))))</f>
        <v/>
      </c>
      <c r="U45" s="241"/>
      <c r="V45" s="275" t="e">
        <f>IF(C45="",NA(),MATCH($B45&amp;$C45,'Smelter Look-up'!$J:$J,0))</f>
        <v>#N/A</v>
      </c>
      <c r="W45" s="276"/>
      <c r="X45" s="276">
        <f t="shared" ca="1" si="7"/>
        <v>0</v>
      </c>
      <c r="Y45" s="276"/>
      <c r="Z45" s="276"/>
      <c r="AB45" s="278" t="str">
        <f t="shared" si="8"/>
        <v/>
      </c>
    </row>
    <row r="46" spans="1:28" s="277" customFormat="1" ht="20.399999999999999">
      <c r="A46" s="216"/>
      <c r="B46" s="217" t="str">
        <f>IF(LEN(A46)=0,"",INDEX('Smelter Look-up'!$A:$A,MATCH($A46,'Smelter Look-up'!$E:$E,0)))</f>
        <v/>
      </c>
      <c r="C46" s="221" t="str">
        <f>IF(LEN(A46)=0,"",INDEX('Smelter Look-up'!$C:$C,MATCH($A46,'Smelter Look-up'!$E:$E,0)))</f>
        <v/>
      </c>
      <c r="D46" s="283"/>
      <c r="E46" s="217" t="str">
        <f ca="1">IF(ISERROR($V46),"",OFFSET('Smelter Look-up'!$D$4,$V46-4,0)&amp;"")</f>
        <v/>
      </c>
      <c r="F46" s="217" t="str">
        <f ca="1">IF(ISERROR($V46),"",OFFSET('Smelter Look-up'!$E$4,$V46-4,0))</f>
        <v/>
      </c>
      <c r="G46" s="217" t="str">
        <f ca="1">IF(C46=$X$4,"Enter smelter details",IF(ISERROR($V46),"",OFFSET('Smelter Look-up'!$F$4,$V46-4,0)))</f>
        <v/>
      </c>
      <c r="H46" s="218" t="str">
        <f ca="1">IF(ISERROR($V46),"",OFFSET('Smelter Look-up'!$G$4,$V46-4,0))</f>
        <v/>
      </c>
      <c r="I46" s="219" t="str">
        <f ca="1">IF(ISERROR($V46),"",OFFSET('Smelter Look-up'!$H$4,$V46-4,0))</f>
        <v/>
      </c>
      <c r="J46" s="219" t="str">
        <f ca="1">IF(ISERROR($V46),"",OFFSET('Smelter Look-up'!$I$4,$V46-4,0))</f>
        <v/>
      </c>
      <c r="K46" s="273"/>
      <c r="L46" s="273"/>
      <c r="M46" s="273"/>
      <c r="N46" s="273"/>
      <c r="O46" s="273"/>
      <c r="P46" s="220"/>
      <c r="Q46" s="274"/>
      <c r="R46" s="217" t="str">
        <f ca="1">IF(ISERROR($V46),"",OFFSET('Smelter Look-up'!$C$4,$V46-4,0)&amp;"")</f>
        <v/>
      </c>
      <c r="S46" s="225" t="str">
        <f t="shared" ca="1" si="6"/>
        <v/>
      </c>
      <c r="T46" s="225" t="str">
        <f ca="1">IF(B46="","",IF(ISERROR(MATCH($J46,SorP!$B$1:$B$6230,0)),"",INDIRECT("'SorP'!$A$"&amp;MATCH($J46,SorP!$B$1:$B$6230,0))))</f>
        <v/>
      </c>
      <c r="U46" s="241"/>
      <c r="V46" s="275" t="e">
        <f>IF(C46="",NA(),MATCH($B46&amp;$C46,'Smelter Look-up'!$J:$J,0))</f>
        <v>#N/A</v>
      </c>
      <c r="W46" s="276"/>
      <c r="X46" s="276">
        <f t="shared" ca="1" si="7"/>
        <v>0</v>
      </c>
      <c r="Y46" s="276"/>
      <c r="Z46" s="276"/>
      <c r="AB46" s="278" t="str">
        <f t="shared" si="8"/>
        <v/>
      </c>
    </row>
    <row r="47" spans="1:28" s="277" customFormat="1" ht="20.399999999999999">
      <c r="A47" s="216"/>
      <c r="B47" s="217" t="str">
        <f>IF(LEN(A47)=0,"",INDEX('Smelter Look-up'!$A:$A,MATCH($A47,'Smelter Look-up'!$E:$E,0)))</f>
        <v/>
      </c>
      <c r="C47" s="221" t="str">
        <f>IF(LEN(A47)=0,"",INDEX('Smelter Look-up'!$C:$C,MATCH($A47,'Smelter Look-up'!$E:$E,0)))</f>
        <v/>
      </c>
      <c r="D47" s="283"/>
      <c r="E47" s="217" t="str">
        <f ca="1">IF(ISERROR($V47),"",OFFSET('Smelter Look-up'!$D$4,$V47-4,0)&amp;"")</f>
        <v/>
      </c>
      <c r="F47" s="217" t="str">
        <f ca="1">IF(ISERROR($V47),"",OFFSET('Smelter Look-up'!$E$4,$V47-4,0))</f>
        <v/>
      </c>
      <c r="G47" s="217" t="str">
        <f ca="1">IF(C47=$X$4,"Enter smelter details",IF(ISERROR($V47),"",OFFSET('Smelter Look-up'!$F$4,$V47-4,0)))</f>
        <v/>
      </c>
      <c r="H47" s="218" t="str">
        <f ca="1">IF(ISERROR($V47),"",OFFSET('Smelter Look-up'!$G$4,$V47-4,0))</f>
        <v/>
      </c>
      <c r="I47" s="219" t="str">
        <f ca="1">IF(ISERROR($V47),"",OFFSET('Smelter Look-up'!$H$4,$V47-4,0))</f>
        <v/>
      </c>
      <c r="J47" s="219" t="str">
        <f ca="1">IF(ISERROR($V47),"",OFFSET('Smelter Look-up'!$I$4,$V47-4,0))</f>
        <v/>
      </c>
      <c r="K47" s="273"/>
      <c r="L47" s="273"/>
      <c r="M47" s="273"/>
      <c r="N47" s="273"/>
      <c r="O47" s="273"/>
      <c r="P47" s="220"/>
      <c r="Q47" s="274"/>
      <c r="R47" s="217" t="str">
        <f ca="1">IF(ISERROR($V47),"",OFFSET('Smelter Look-up'!$C$4,$V47-4,0)&amp;"")</f>
        <v/>
      </c>
      <c r="S47" s="225" t="str">
        <f t="shared" ca="1" si="6"/>
        <v/>
      </c>
      <c r="T47" s="225" t="str">
        <f ca="1">IF(B47="","",IF(ISERROR(MATCH($J47,SorP!$B$1:$B$6230,0)),"",INDIRECT("'SorP'!$A$"&amp;MATCH($J47,SorP!$B$1:$B$6230,0))))</f>
        <v/>
      </c>
      <c r="U47" s="241"/>
      <c r="V47" s="275" t="e">
        <f>IF(C47="",NA(),MATCH($B47&amp;$C47,'Smelter Look-up'!$J:$J,0))</f>
        <v>#N/A</v>
      </c>
      <c r="W47" s="276"/>
      <c r="X47" s="276">
        <f t="shared" ca="1" si="7"/>
        <v>0</v>
      </c>
      <c r="Y47" s="276"/>
      <c r="Z47" s="276"/>
      <c r="AB47" s="278" t="str">
        <f t="shared" si="8"/>
        <v/>
      </c>
    </row>
    <row r="48" spans="1:28" s="277" customFormat="1" ht="20.399999999999999">
      <c r="A48" s="216"/>
      <c r="B48" s="217" t="str">
        <f>IF(LEN(A48)=0,"",INDEX('Smelter Look-up'!$A:$A,MATCH($A48,'Smelter Look-up'!$E:$E,0)))</f>
        <v/>
      </c>
      <c r="C48" s="221" t="str">
        <f>IF(LEN(A48)=0,"",INDEX('Smelter Look-up'!$C:$C,MATCH($A48,'Smelter Look-up'!$E:$E,0)))</f>
        <v/>
      </c>
      <c r="D48" s="283"/>
      <c r="E48" s="217" t="str">
        <f ca="1">IF(ISERROR($V48),"",OFFSET('Smelter Look-up'!$D$4,$V48-4,0)&amp;"")</f>
        <v/>
      </c>
      <c r="F48" s="217" t="str">
        <f ca="1">IF(ISERROR($V48),"",OFFSET('Smelter Look-up'!$E$4,$V48-4,0))</f>
        <v/>
      </c>
      <c r="G48" s="217" t="str">
        <f ca="1">IF(C48=$X$4,"Enter smelter details",IF(ISERROR($V48),"",OFFSET('Smelter Look-up'!$F$4,$V48-4,0)))</f>
        <v/>
      </c>
      <c r="H48" s="218" t="str">
        <f ca="1">IF(ISERROR($V48),"",OFFSET('Smelter Look-up'!$G$4,$V48-4,0))</f>
        <v/>
      </c>
      <c r="I48" s="219" t="str">
        <f ca="1">IF(ISERROR($V48),"",OFFSET('Smelter Look-up'!$H$4,$V48-4,0))</f>
        <v/>
      </c>
      <c r="J48" s="219" t="str">
        <f ca="1">IF(ISERROR($V48),"",OFFSET('Smelter Look-up'!$I$4,$V48-4,0))</f>
        <v/>
      </c>
      <c r="K48" s="273"/>
      <c r="L48" s="273"/>
      <c r="M48" s="273"/>
      <c r="N48" s="273"/>
      <c r="O48" s="273"/>
      <c r="P48" s="220"/>
      <c r="Q48" s="274"/>
      <c r="R48" s="217" t="str">
        <f ca="1">IF(ISERROR($V48),"",OFFSET('Smelter Look-up'!$C$4,$V48-4,0)&amp;"")</f>
        <v/>
      </c>
      <c r="S48" s="225" t="str">
        <f t="shared" ca="1" si="6"/>
        <v/>
      </c>
      <c r="T48" s="225" t="str">
        <f ca="1">IF(B48="","",IF(ISERROR(MATCH($J48,SorP!$B$1:$B$6230,0)),"",INDIRECT("'SorP'!$A$"&amp;MATCH($J48,SorP!$B$1:$B$6230,0))))</f>
        <v/>
      </c>
      <c r="U48" s="241"/>
      <c r="V48" s="275" t="e">
        <f>IF(C48="",NA(),MATCH($B48&amp;$C48,'Smelter Look-up'!$J:$J,0))</f>
        <v>#N/A</v>
      </c>
      <c r="W48" s="276"/>
      <c r="X48" s="276">
        <f t="shared" ca="1" si="7"/>
        <v>0</v>
      </c>
      <c r="Y48" s="276"/>
      <c r="Z48" s="276"/>
      <c r="AB48" s="278" t="str">
        <f t="shared" si="8"/>
        <v/>
      </c>
    </row>
    <row r="49" spans="1:28" s="277" customFormat="1" ht="20.399999999999999">
      <c r="A49" s="216"/>
      <c r="B49" s="217" t="str">
        <f>IF(LEN(A49)=0,"",INDEX('Smelter Look-up'!$A:$A,MATCH($A49,'Smelter Look-up'!$E:$E,0)))</f>
        <v/>
      </c>
      <c r="C49" s="221" t="str">
        <f>IF(LEN(A49)=0,"",INDEX('Smelter Look-up'!$C:$C,MATCH($A49,'Smelter Look-up'!$E:$E,0)))</f>
        <v/>
      </c>
      <c r="D49" s="283"/>
      <c r="E49" s="217" t="str">
        <f ca="1">IF(ISERROR($V49),"",OFFSET('Smelter Look-up'!$D$4,$V49-4,0)&amp;"")</f>
        <v/>
      </c>
      <c r="F49" s="217" t="str">
        <f ca="1">IF(ISERROR($V49),"",OFFSET('Smelter Look-up'!$E$4,$V49-4,0))</f>
        <v/>
      </c>
      <c r="G49" s="217" t="str">
        <f ca="1">IF(C49=$X$4,"Enter smelter details",IF(ISERROR($V49),"",OFFSET('Smelter Look-up'!$F$4,$V49-4,0)))</f>
        <v/>
      </c>
      <c r="H49" s="218" t="str">
        <f ca="1">IF(ISERROR($V49),"",OFFSET('Smelter Look-up'!$G$4,$V49-4,0))</f>
        <v/>
      </c>
      <c r="I49" s="219" t="str">
        <f ca="1">IF(ISERROR($V49),"",OFFSET('Smelter Look-up'!$H$4,$V49-4,0))</f>
        <v/>
      </c>
      <c r="J49" s="219" t="str">
        <f ca="1">IF(ISERROR($V49),"",OFFSET('Smelter Look-up'!$I$4,$V49-4,0))</f>
        <v/>
      </c>
      <c r="K49" s="273"/>
      <c r="L49" s="273"/>
      <c r="M49" s="273"/>
      <c r="N49" s="273"/>
      <c r="O49" s="273"/>
      <c r="P49" s="220"/>
      <c r="Q49" s="274"/>
      <c r="R49" s="217" t="str">
        <f ca="1">IF(ISERROR($V49),"",OFFSET('Smelter Look-up'!$C$4,$V49-4,0)&amp;"")</f>
        <v/>
      </c>
      <c r="S49" s="225" t="str">
        <f t="shared" ca="1" si="6"/>
        <v/>
      </c>
      <c r="T49" s="225" t="str">
        <f ca="1">IF(B49="","",IF(ISERROR(MATCH($J49,SorP!$B$1:$B$6230,0)),"",INDIRECT("'SorP'!$A$"&amp;MATCH($J49,SorP!$B$1:$B$6230,0))))</f>
        <v/>
      </c>
      <c r="U49" s="241"/>
      <c r="V49" s="275" t="e">
        <f>IF(C49="",NA(),MATCH($B49&amp;$C49,'Smelter Look-up'!$J:$J,0))</f>
        <v>#N/A</v>
      </c>
      <c r="W49" s="276"/>
      <c r="X49" s="276">
        <f t="shared" ca="1" si="7"/>
        <v>0</v>
      </c>
      <c r="Y49" s="276"/>
      <c r="Z49" s="276"/>
      <c r="AB49" s="278" t="str">
        <f t="shared" si="8"/>
        <v/>
      </c>
    </row>
    <row r="50" spans="1:28" s="277" customFormat="1" ht="20.399999999999999">
      <c r="A50" s="216"/>
      <c r="B50" s="217" t="str">
        <f>IF(LEN(A50)=0,"",INDEX('Smelter Look-up'!$A:$A,MATCH($A50,'Smelter Look-up'!$E:$E,0)))</f>
        <v/>
      </c>
      <c r="C50" s="221" t="str">
        <f>IF(LEN(A50)=0,"",INDEX('Smelter Look-up'!$C:$C,MATCH($A50,'Smelter Look-up'!$E:$E,0)))</f>
        <v/>
      </c>
      <c r="D50" s="283"/>
      <c r="E50" s="217" t="str">
        <f ca="1">IF(ISERROR($V50),"",OFFSET('Smelter Look-up'!$D$4,$V50-4,0)&amp;"")</f>
        <v/>
      </c>
      <c r="F50" s="217" t="str">
        <f ca="1">IF(ISERROR($V50),"",OFFSET('Smelter Look-up'!$E$4,$V50-4,0))</f>
        <v/>
      </c>
      <c r="G50" s="217" t="str">
        <f ca="1">IF(C50=$X$4,"Enter smelter details",IF(ISERROR($V50),"",OFFSET('Smelter Look-up'!$F$4,$V50-4,0)))</f>
        <v/>
      </c>
      <c r="H50" s="218" t="str">
        <f ca="1">IF(ISERROR($V50),"",OFFSET('Smelter Look-up'!$G$4,$V50-4,0))</f>
        <v/>
      </c>
      <c r="I50" s="219" t="str">
        <f ca="1">IF(ISERROR($V50),"",OFFSET('Smelter Look-up'!$H$4,$V50-4,0))</f>
        <v/>
      </c>
      <c r="J50" s="219" t="str">
        <f ca="1">IF(ISERROR($V50),"",OFFSET('Smelter Look-up'!$I$4,$V50-4,0))</f>
        <v/>
      </c>
      <c r="K50" s="273"/>
      <c r="L50" s="273"/>
      <c r="M50" s="273"/>
      <c r="N50" s="273"/>
      <c r="O50" s="273"/>
      <c r="P50" s="220"/>
      <c r="Q50" s="274"/>
      <c r="R50" s="217" t="str">
        <f ca="1">IF(ISERROR($V50),"",OFFSET('Smelter Look-up'!$C$4,$V50-4,0)&amp;"")</f>
        <v/>
      </c>
      <c r="S50" s="225" t="str">
        <f t="shared" ca="1" si="6"/>
        <v/>
      </c>
      <c r="T50" s="225" t="str">
        <f ca="1">IF(B50="","",IF(ISERROR(MATCH($J50,SorP!$B$1:$B$6230,0)),"",INDIRECT("'SorP'!$A$"&amp;MATCH($J50,SorP!$B$1:$B$6230,0))))</f>
        <v/>
      </c>
      <c r="U50" s="241"/>
      <c r="V50" s="275" t="e">
        <f>IF(C50="",NA(),MATCH($B50&amp;$C50,'Smelter Look-up'!$J:$J,0))</f>
        <v>#N/A</v>
      </c>
      <c r="W50" s="276"/>
      <c r="X50" s="276">
        <f t="shared" ca="1" si="7"/>
        <v>0</v>
      </c>
      <c r="Y50" s="276"/>
      <c r="Z50" s="276"/>
      <c r="AB50" s="278" t="str">
        <f t="shared" si="8"/>
        <v/>
      </c>
    </row>
    <row r="51" spans="1:28" s="277" customFormat="1" ht="20.399999999999999">
      <c r="A51" s="216"/>
      <c r="B51" s="217" t="str">
        <f>IF(LEN(A51)=0,"",INDEX('Smelter Look-up'!$A:$A,MATCH($A51,'Smelter Look-up'!$E:$E,0)))</f>
        <v/>
      </c>
      <c r="C51" s="221" t="str">
        <f>IF(LEN(A51)=0,"",INDEX('Smelter Look-up'!$C:$C,MATCH($A51,'Smelter Look-up'!$E:$E,0)))</f>
        <v/>
      </c>
      <c r="D51" s="283"/>
      <c r="E51" s="217" t="str">
        <f ca="1">IF(ISERROR($V51),"",OFFSET('Smelter Look-up'!$D$4,$V51-4,0)&amp;"")</f>
        <v/>
      </c>
      <c r="F51" s="217" t="str">
        <f ca="1">IF(ISERROR($V51),"",OFFSET('Smelter Look-up'!$E$4,$V51-4,0))</f>
        <v/>
      </c>
      <c r="G51" s="217" t="str">
        <f ca="1">IF(C51=$X$4,"Enter smelter details",IF(ISERROR($V51),"",OFFSET('Smelter Look-up'!$F$4,$V51-4,0)))</f>
        <v/>
      </c>
      <c r="H51" s="218" t="str">
        <f ca="1">IF(ISERROR($V51),"",OFFSET('Smelter Look-up'!$G$4,$V51-4,0))</f>
        <v/>
      </c>
      <c r="I51" s="219" t="str">
        <f ca="1">IF(ISERROR($V51),"",OFFSET('Smelter Look-up'!$H$4,$V51-4,0))</f>
        <v/>
      </c>
      <c r="J51" s="219" t="str">
        <f ca="1">IF(ISERROR($V51),"",OFFSET('Smelter Look-up'!$I$4,$V51-4,0))</f>
        <v/>
      </c>
      <c r="K51" s="273"/>
      <c r="L51" s="273"/>
      <c r="M51" s="273"/>
      <c r="N51" s="273"/>
      <c r="O51" s="273"/>
      <c r="P51" s="220"/>
      <c r="Q51" s="274"/>
      <c r="R51" s="217" t="str">
        <f ca="1">IF(ISERROR($V51),"",OFFSET('Smelter Look-up'!$C$4,$V51-4,0)&amp;"")</f>
        <v/>
      </c>
      <c r="S51" s="225" t="str">
        <f t="shared" ca="1" si="6"/>
        <v/>
      </c>
      <c r="T51" s="225" t="str">
        <f ca="1">IF(B51="","",IF(ISERROR(MATCH($J51,SorP!$B$1:$B$6230,0)),"",INDIRECT("'SorP'!$A$"&amp;MATCH($J51,SorP!$B$1:$B$6230,0))))</f>
        <v/>
      </c>
      <c r="U51" s="241"/>
      <c r="V51" s="275" t="e">
        <f>IF(C51="",NA(),MATCH($B51&amp;$C51,'Smelter Look-up'!$J:$J,0))</f>
        <v>#N/A</v>
      </c>
      <c r="W51" s="276"/>
      <c r="X51" s="276">
        <f t="shared" ca="1" si="7"/>
        <v>0</v>
      </c>
      <c r="Y51" s="276"/>
      <c r="Z51" s="276"/>
      <c r="AB51" s="278" t="str">
        <f t="shared" si="8"/>
        <v/>
      </c>
    </row>
    <row r="52" spans="1:28" s="277" customFormat="1" ht="20.399999999999999">
      <c r="A52" s="216"/>
      <c r="B52" s="217" t="str">
        <f>IF(LEN(A52)=0,"",INDEX('Smelter Look-up'!$A:$A,MATCH($A52,'Smelter Look-up'!$E:$E,0)))</f>
        <v/>
      </c>
      <c r="C52" s="221" t="str">
        <f>IF(LEN(A52)=0,"",INDEX('Smelter Look-up'!$C:$C,MATCH($A52,'Smelter Look-up'!$E:$E,0)))</f>
        <v/>
      </c>
      <c r="D52" s="283"/>
      <c r="E52" s="217" t="str">
        <f ca="1">IF(ISERROR($V52),"",OFFSET('Smelter Look-up'!$D$4,$V52-4,0)&amp;"")</f>
        <v/>
      </c>
      <c r="F52" s="217" t="str">
        <f ca="1">IF(ISERROR($V52),"",OFFSET('Smelter Look-up'!$E$4,$V52-4,0))</f>
        <v/>
      </c>
      <c r="G52" s="217" t="str">
        <f ca="1">IF(C52=$X$4,"Enter smelter details",IF(ISERROR($V52),"",OFFSET('Smelter Look-up'!$F$4,$V52-4,0)))</f>
        <v/>
      </c>
      <c r="H52" s="218" t="str">
        <f ca="1">IF(ISERROR($V52),"",OFFSET('Smelter Look-up'!$G$4,$V52-4,0))</f>
        <v/>
      </c>
      <c r="I52" s="219" t="str">
        <f ca="1">IF(ISERROR($V52),"",OFFSET('Smelter Look-up'!$H$4,$V52-4,0))</f>
        <v/>
      </c>
      <c r="J52" s="219" t="str">
        <f ca="1">IF(ISERROR($V52),"",OFFSET('Smelter Look-up'!$I$4,$V52-4,0))</f>
        <v/>
      </c>
      <c r="K52" s="273"/>
      <c r="L52" s="273"/>
      <c r="M52" s="273"/>
      <c r="N52" s="273"/>
      <c r="O52" s="273"/>
      <c r="P52" s="220"/>
      <c r="Q52" s="274"/>
      <c r="R52" s="217" t="str">
        <f ca="1">IF(ISERROR($V52),"",OFFSET('Smelter Look-up'!$C$4,$V52-4,0)&amp;"")</f>
        <v/>
      </c>
      <c r="S52" s="225" t="str">
        <f t="shared" ca="1" si="6"/>
        <v/>
      </c>
      <c r="T52" s="225" t="str">
        <f ca="1">IF(B52="","",IF(ISERROR(MATCH($J52,SorP!$B$1:$B$6230,0)),"",INDIRECT("'SorP'!$A$"&amp;MATCH($J52,SorP!$B$1:$B$6230,0))))</f>
        <v/>
      </c>
      <c r="U52" s="241"/>
      <c r="V52" s="275" t="e">
        <f>IF(C52="",NA(),MATCH($B52&amp;$C52,'Smelter Look-up'!$J:$J,0))</f>
        <v>#N/A</v>
      </c>
      <c r="W52" s="276"/>
      <c r="X52" s="276">
        <f t="shared" ca="1" si="7"/>
        <v>0</v>
      </c>
      <c r="Y52" s="276"/>
      <c r="Z52" s="276"/>
      <c r="AB52" s="278" t="str">
        <f t="shared" si="8"/>
        <v/>
      </c>
    </row>
    <row r="53" spans="1:28" s="277" customFormat="1" ht="20.399999999999999">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6"/>
        <v/>
      </c>
      <c r="T53" s="225" t="str">
        <f ca="1">IF(B53="","",IF(ISERROR(MATCH($J53,SorP!$B$1:$B$6230,0)),"",INDIRECT("'SorP'!$A$"&amp;MATCH($J53,SorP!$B$1:$B$6230,0))))</f>
        <v/>
      </c>
      <c r="U53" s="241"/>
      <c r="V53" s="275" t="e">
        <f>IF(C53="",NA(),MATCH($B53&amp;$C53,'Smelter Look-up'!$J:$J,0))</f>
        <v>#N/A</v>
      </c>
      <c r="W53" s="276"/>
      <c r="X53" s="276">
        <f t="shared" ca="1" si="7"/>
        <v>0</v>
      </c>
      <c r="Y53" s="276"/>
      <c r="Z53" s="276"/>
      <c r="AB53" s="278" t="str">
        <f t="shared" si="8"/>
        <v/>
      </c>
    </row>
    <row r="54" spans="1:28" s="277" customFormat="1" ht="20.399999999999999">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6"/>
        <v/>
      </c>
      <c r="T54" s="225" t="str">
        <f ca="1">IF(B54="","",IF(ISERROR(MATCH($J54,SorP!$B$1:$B$6230,0)),"",INDIRECT("'SorP'!$A$"&amp;MATCH($J54,SorP!$B$1:$B$6230,0))))</f>
        <v/>
      </c>
      <c r="U54" s="241"/>
      <c r="V54" s="275" t="e">
        <f>IF(C54="",NA(),MATCH($B54&amp;$C54,'Smelter Look-up'!$J:$J,0))</f>
        <v>#N/A</v>
      </c>
      <c r="W54" s="276"/>
      <c r="X54" s="276">
        <f t="shared" ca="1" si="7"/>
        <v>0</v>
      </c>
      <c r="Y54" s="276"/>
      <c r="Z54" s="276"/>
      <c r="AB54" s="278" t="str">
        <f t="shared" si="8"/>
        <v/>
      </c>
    </row>
    <row r="55" spans="1:28" s="277" customFormat="1" ht="20.399999999999999">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6"/>
        <v/>
      </c>
      <c r="T55" s="225" t="str">
        <f ca="1">IF(B55="","",IF(ISERROR(MATCH($J55,SorP!$B$1:$B$6230,0)),"",INDIRECT("'SorP'!$A$"&amp;MATCH($J55,SorP!$B$1:$B$6230,0))))</f>
        <v/>
      </c>
      <c r="U55" s="241"/>
      <c r="V55" s="275" t="e">
        <f>IF(C55="",NA(),MATCH($B55&amp;$C55,'Smelter Look-up'!$J:$J,0))</f>
        <v>#N/A</v>
      </c>
      <c r="W55" s="276"/>
      <c r="X55" s="276">
        <f t="shared" ca="1" si="7"/>
        <v>0</v>
      </c>
      <c r="Y55" s="276"/>
      <c r="Z55" s="276"/>
      <c r="AB55" s="278" t="str">
        <f t="shared" si="8"/>
        <v/>
      </c>
    </row>
    <row r="56" spans="1:28" s="277" customFormat="1" ht="20.399999999999999">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6"/>
        <v/>
      </c>
      <c r="T56" s="225" t="str">
        <f ca="1">IF(B56="","",IF(ISERROR(MATCH($J56,SorP!$B$1:$B$6230,0)),"",INDIRECT("'SorP'!$A$"&amp;MATCH($J56,SorP!$B$1:$B$6230,0))))</f>
        <v/>
      </c>
      <c r="U56" s="241"/>
      <c r="V56" s="275" t="e">
        <f>IF(C56="",NA(),MATCH($B56&amp;$C56,'Smelter Look-up'!$J:$J,0))</f>
        <v>#N/A</v>
      </c>
      <c r="W56" s="276"/>
      <c r="X56" s="276">
        <f t="shared" ca="1" si="7"/>
        <v>0</v>
      </c>
      <c r="Y56" s="276"/>
      <c r="Z56" s="276"/>
      <c r="AB56" s="278" t="str">
        <f t="shared" si="8"/>
        <v/>
      </c>
    </row>
    <row r="57" spans="1:28" s="277" customFormat="1" ht="20.399999999999999">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6"/>
        <v/>
      </c>
      <c r="T57" s="225" t="str">
        <f ca="1">IF(B57="","",IF(ISERROR(MATCH($J57,SorP!$B$1:$B$6230,0)),"",INDIRECT("'SorP'!$A$"&amp;MATCH($J57,SorP!$B$1:$B$6230,0))))</f>
        <v/>
      </c>
      <c r="U57" s="241"/>
      <c r="V57" s="275" t="e">
        <f>IF(C57="",NA(),MATCH($B57&amp;$C57,'Smelter Look-up'!$J:$J,0))</f>
        <v>#N/A</v>
      </c>
      <c r="W57" s="276"/>
      <c r="X57" s="276">
        <f t="shared" ca="1" si="7"/>
        <v>0</v>
      </c>
      <c r="Y57" s="276"/>
      <c r="Z57" s="276"/>
      <c r="AB57" s="278" t="str">
        <f t="shared" si="8"/>
        <v/>
      </c>
    </row>
    <row r="58" spans="1:28" s="277" customFormat="1" ht="20.399999999999999">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ca="1" si="6"/>
        <v/>
      </c>
      <c r="T58" s="225" t="str">
        <f ca="1">IF(B58="","",IF(ISERROR(MATCH($J58,SorP!$B$1:$B$6230,0)),"",INDIRECT("'SorP'!$A$"&amp;MATCH($J58,SorP!$B$1:$B$6230,0))))</f>
        <v/>
      </c>
      <c r="U58" s="241"/>
      <c r="V58" s="275" t="e">
        <f>IF(C58="",NA(),MATCH($B58&amp;$C58,'Smelter Look-up'!$J:$J,0))</f>
        <v>#N/A</v>
      </c>
      <c r="W58" s="276"/>
      <c r="X58" s="276">
        <f t="shared" ca="1" si="7"/>
        <v>0</v>
      </c>
      <c r="Y58" s="276"/>
      <c r="Z58" s="276"/>
      <c r="AB58" s="278" t="str">
        <f t="shared" si="8"/>
        <v/>
      </c>
    </row>
    <row r="59" spans="1:28" s="277" customFormat="1" ht="20.399999999999999">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6"/>
        <v/>
      </c>
      <c r="T59" s="225" t="str">
        <f ca="1">IF(B59="","",IF(ISERROR(MATCH($J59,SorP!$B$1:$B$6230,0)),"",INDIRECT("'SorP'!$A$"&amp;MATCH($J59,SorP!$B$1:$B$6230,0))))</f>
        <v/>
      </c>
      <c r="U59" s="241"/>
      <c r="V59" s="275" t="e">
        <f>IF(C59="",NA(),MATCH($B59&amp;$C59,'Smelter Look-up'!$J:$J,0))</f>
        <v>#N/A</v>
      </c>
      <c r="W59" s="276"/>
      <c r="X59" s="276">
        <f t="shared" ca="1" si="7"/>
        <v>0</v>
      </c>
      <c r="Y59" s="276"/>
      <c r="Z59" s="276"/>
      <c r="AB59" s="278" t="str">
        <f t="shared" si="8"/>
        <v/>
      </c>
    </row>
    <row r="60" spans="1:28" s="277" customFormat="1" ht="20.399999999999999">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6"/>
        <v/>
      </c>
      <c r="T60" s="225" t="str">
        <f ca="1">IF(B60="","",IF(ISERROR(MATCH($J60,SorP!$B$1:$B$6230,0)),"",INDIRECT("'SorP'!$A$"&amp;MATCH($J60,SorP!$B$1:$B$6230,0))))</f>
        <v/>
      </c>
      <c r="U60" s="241"/>
      <c r="V60" s="275" t="e">
        <f>IF(C60="",NA(),MATCH($B60&amp;$C60,'Smelter Look-up'!$J:$J,0))</f>
        <v>#N/A</v>
      </c>
      <c r="W60" s="276"/>
      <c r="X60" s="276">
        <f t="shared" ca="1" si="7"/>
        <v>0</v>
      </c>
      <c r="Y60" s="276"/>
      <c r="Z60" s="276"/>
      <c r="AB60" s="278" t="str">
        <f t="shared" si="8"/>
        <v/>
      </c>
    </row>
    <row r="61" spans="1:28" s="277" customFormat="1" ht="20.399999999999999">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6"/>
        <v/>
      </c>
      <c r="T61" s="225" t="str">
        <f ca="1">IF(B61="","",IF(ISERROR(MATCH($J61,SorP!$B$1:$B$6230,0)),"",INDIRECT("'SorP'!$A$"&amp;MATCH($J61,SorP!$B$1:$B$6230,0))))</f>
        <v/>
      </c>
      <c r="U61" s="241"/>
      <c r="V61" s="275" t="e">
        <f>IF(C61="",NA(),MATCH($B61&amp;$C61,'Smelter Look-up'!$J:$J,0))</f>
        <v>#N/A</v>
      </c>
      <c r="W61" s="276"/>
      <c r="X61" s="276">
        <f t="shared" ca="1" si="7"/>
        <v>0</v>
      </c>
      <c r="Y61" s="276"/>
      <c r="Z61" s="276"/>
      <c r="AB61" s="278" t="str">
        <f t="shared" si="8"/>
        <v/>
      </c>
    </row>
    <row r="62" spans="1:28" s="277" customFormat="1" ht="20.399999999999999">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6"/>
        <v/>
      </c>
      <c r="T62" s="225" t="str">
        <f ca="1">IF(B62="","",IF(ISERROR(MATCH($J62,SorP!$B$1:$B$6230,0)),"",INDIRECT("'SorP'!$A$"&amp;MATCH($J62,SorP!$B$1:$B$6230,0))))</f>
        <v/>
      </c>
      <c r="U62" s="241"/>
      <c r="V62" s="275" t="e">
        <f>IF(C62="",NA(),MATCH($B62&amp;$C62,'Smelter Look-up'!$J:$J,0))</f>
        <v>#N/A</v>
      </c>
      <c r="W62" s="276"/>
      <c r="X62" s="276">
        <f t="shared" ca="1" si="7"/>
        <v>0</v>
      </c>
      <c r="Y62" s="276"/>
      <c r="Z62" s="276"/>
      <c r="AB62" s="278" t="str">
        <f t="shared" si="8"/>
        <v/>
      </c>
    </row>
    <row r="63" spans="1:28" s="277" customFormat="1" ht="20.399999999999999">
      <c r="A63" s="216"/>
      <c r="B63" s="217" t="str">
        <f>IF(LEN(A63)=0,"",INDEX('Smelter Look-up'!$A:$A,MATCH($A63,'Smelter Look-up'!$E:$E,0)))</f>
        <v/>
      </c>
      <c r="C63" s="221" t="str">
        <f>IF(LEN(A63)=0,"",INDEX('Smelter Look-up'!$C:$C,MATCH($A63,'Smelter Look-up'!$E:$E,0)))</f>
        <v/>
      </c>
      <c r="D63" s="283"/>
      <c r="E63" s="217" t="str">
        <f ca="1">IF(ISERROR($V63),"",OFFSET('Smelter Look-up'!$D$4,$V63-4,0)&amp;"")</f>
        <v/>
      </c>
      <c r="F63" s="217" t="str">
        <f ca="1">IF(ISERROR($V63),"",OFFSET('Smelter Look-up'!$E$4,$V63-4,0))</f>
        <v/>
      </c>
      <c r="G63" s="217" t="str">
        <f ca="1">IF(C63=$X$4,"Enter smelter details",IF(ISERROR($V63),"",OFFSET('Smelter Look-up'!$F$4,$V63-4,0)))</f>
        <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6"/>
        <v/>
      </c>
      <c r="T63" s="225" t="str">
        <f ca="1">IF(B63="","",IF(ISERROR(MATCH($J63,SorP!$B$1:$B$6230,0)),"",INDIRECT("'SorP'!$A$"&amp;MATCH($J63,SorP!$B$1:$B$6230,0))))</f>
        <v/>
      </c>
      <c r="U63" s="241"/>
      <c r="V63" s="275" t="e">
        <f>IF(C63="",NA(),MATCH($B63&amp;$C63,'Smelter Look-up'!$J:$J,0))</f>
        <v>#N/A</v>
      </c>
      <c r="W63" s="276"/>
      <c r="X63" s="276">
        <f t="shared" ca="1" si="7"/>
        <v>0</v>
      </c>
      <c r="Y63" s="276"/>
      <c r="Z63" s="276"/>
      <c r="AB63" s="278" t="str">
        <f t="shared" si="8"/>
        <v/>
      </c>
    </row>
    <row r="64" spans="1:28" s="277" customFormat="1" ht="20.399999999999999">
      <c r="A64" s="216"/>
      <c r="B64" s="217" t="str">
        <f>IF(LEN(A64)=0,"",INDEX('Smelter Look-up'!$A:$A,MATCH($A64,'Smelter Look-up'!$E:$E,0)))</f>
        <v/>
      </c>
      <c r="C64" s="221" t="str">
        <f>IF(LEN(A64)=0,"",INDEX('Smelter Look-up'!$C:$C,MATCH($A64,'Smelter Look-up'!$E:$E,0)))</f>
        <v/>
      </c>
      <c r="D64" s="283"/>
      <c r="E64" s="217" t="str">
        <f ca="1">IF(ISERROR($V64),"",OFFSET('Smelter Look-up'!$D$4,$V64-4,0)&amp;"")</f>
        <v/>
      </c>
      <c r="F64" s="217" t="str">
        <f ca="1">IF(ISERROR($V64),"",OFFSET('Smelter Look-up'!$E$4,$V64-4,0))</f>
        <v/>
      </c>
      <c r="G64" s="217" t="str">
        <f ca="1">IF(C64=$X$4,"Enter smelter details",IF(ISERROR($V64),"",OFFSET('Smelter Look-up'!$F$4,$V64-4,0)))</f>
        <v/>
      </c>
      <c r="H64" s="218" t="str">
        <f ca="1">IF(ISERROR($V64),"",OFFSET('Smelter Look-up'!$G$4,$V64-4,0))</f>
        <v/>
      </c>
      <c r="I64" s="219" t="str">
        <f ca="1">IF(ISERROR($V64),"",OFFSET('Smelter Look-up'!$H$4,$V64-4,0))</f>
        <v/>
      </c>
      <c r="J64" s="219" t="str">
        <f ca="1">IF(ISERROR($V64),"",OFFSET('Smelter Look-up'!$I$4,$V64-4,0))</f>
        <v/>
      </c>
      <c r="K64" s="273"/>
      <c r="L64" s="273"/>
      <c r="M64" s="273"/>
      <c r="N64" s="273"/>
      <c r="O64" s="273"/>
      <c r="P64" s="220"/>
      <c r="Q64" s="274"/>
      <c r="R64" s="217" t="str">
        <f ca="1">IF(ISERROR($V64),"",OFFSET('Smelter Look-up'!$C$4,$V64-4,0)&amp;"")</f>
        <v/>
      </c>
      <c r="S64" s="225" t="str">
        <f t="shared" ca="1" si="6"/>
        <v/>
      </c>
      <c r="T64" s="225" t="str">
        <f ca="1">IF(B64="","",IF(ISERROR(MATCH($J64,SorP!$B$1:$B$6230,0)),"",INDIRECT("'SorP'!$A$"&amp;MATCH($J64,SorP!$B$1:$B$6230,0))))</f>
        <v/>
      </c>
      <c r="U64" s="241"/>
      <c r="V64" s="275" t="e">
        <f>IF(C64="",NA(),MATCH($B64&amp;$C64,'Smelter Look-up'!$J:$J,0))</f>
        <v>#N/A</v>
      </c>
      <c r="W64" s="276"/>
      <c r="X64" s="276">
        <f t="shared" ca="1" si="7"/>
        <v>0</v>
      </c>
      <c r="Y64" s="276"/>
      <c r="Z64" s="276"/>
      <c r="AB64" s="278" t="str">
        <f t="shared" si="8"/>
        <v/>
      </c>
    </row>
    <row r="65" spans="1:28" s="277" customFormat="1" ht="20.399999999999999">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6"/>
        <v/>
      </c>
      <c r="T65" s="225" t="str">
        <f ca="1">IF(B65="","",IF(ISERROR(MATCH($J65,SorP!$B$1:$B$6230,0)),"",INDIRECT("'SorP'!$A$"&amp;MATCH($J65,SorP!$B$1:$B$6230,0))))</f>
        <v/>
      </c>
      <c r="U65" s="241"/>
      <c r="V65" s="275" t="e">
        <f>IF(C65="",NA(),MATCH($B65&amp;$C65,'Smelter Look-up'!$J:$J,0))</f>
        <v>#N/A</v>
      </c>
      <c r="W65" s="276"/>
      <c r="X65" s="276">
        <f t="shared" ca="1" si="7"/>
        <v>0</v>
      </c>
      <c r="Y65" s="276"/>
      <c r="Z65" s="276"/>
      <c r="AB65" s="278" t="str">
        <f t="shared" si="8"/>
        <v/>
      </c>
    </row>
    <row r="66" spans="1:28" s="277" customFormat="1" ht="20.399999999999999">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6"/>
        <v/>
      </c>
      <c r="T66" s="225" t="str">
        <f ca="1">IF(B66="","",IF(ISERROR(MATCH($J66,SorP!$B$1:$B$6230,0)),"",INDIRECT("'SorP'!$A$"&amp;MATCH($J66,SorP!$B$1:$B$6230,0))))</f>
        <v/>
      </c>
      <c r="U66" s="241"/>
      <c r="V66" s="275" t="e">
        <f>IF(C66="",NA(),MATCH($B66&amp;$C66,'Smelter Look-up'!$J:$J,0))</f>
        <v>#N/A</v>
      </c>
      <c r="W66" s="276"/>
      <c r="X66" s="276">
        <f t="shared" ca="1" si="7"/>
        <v>0</v>
      </c>
      <c r="Y66" s="276"/>
      <c r="Z66" s="276"/>
      <c r="AB66" s="278" t="str">
        <f t="shared" si="8"/>
        <v/>
      </c>
    </row>
    <row r="67" spans="1:28" s="277" customFormat="1" ht="20.399999999999999">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6"/>
        <v/>
      </c>
      <c r="T67" s="225" t="str">
        <f ca="1">IF(B67="","",IF(ISERROR(MATCH($J67,SorP!$B$1:$B$6230,0)),"",INDIRECT("'SorP'!$A$"&amp;MATCH($J67,SorP!$B$1:$B$6230,0))))</f>
        <v/>
      </c>
      <c r="U67" s="241"/>
      <c r="V67" s="275" t="e">
        <f>IF(C67="",NA(),MATCH($B67&amp;$C67,'Smelter Look-up'!$J:$J,0))</f>
        <v>#N/A</v>
      </c>
      <c r="W67" s="276"/>
      <c r="X67" s="276">
        <f t="shared" ca="1" si="7"/>
        <v>0</v>
      </c>
      <c r="Y67" s="276"/>
      <c r="Z67" s="276"/>
      <c r="AB67" s="278" t="str">
        <f t="shared" si="8"/>
        <v/>
      </c>
    </row>
    <row r="68" spans="1:28" s="277" customFormat="1" ht="20.399999999999999">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6"/>
        <v/>
      </c>
      <c r="T68" s="225" t="str">
        <f ca="1">IF(B68="","",IF(ISERROR(MATCH($J68,SorP!$B$1:$B$6230,0)),"",INDIRECT("'SorP'!$A$"&amp;MATCH($J68,SorP!$B$1:$B$6230,0))))</f>
        <v/>
      </c>
      <c r="U68" s="241"/>
      <c r="V68" s="275" t="e">
        <f>IF(C68="",NA(),MATCH($B68&amp;$C68,'Smelter Look-up'!$J:$J,0))</f>
        <v>#N/A</v>
      </c>
      <c r="W68" s="276"/>
      <c r="X68" s="276">
        <f t="shared" ca="1" si="7"/>
        <v>0</v>
      </c>
      <c r="Y68" s="276"/>
      <c r="Z68" s="276"/>
      <c r="AB68" s="278" t="str">
        <f t="shared" si="8"/>
        <v/>
      </c>
    </row>
    <row r="69" spans="1:28" s="277" customFormat="1" ht="20.399999999999999">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9">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10">IF(AND(C69="Smelter not listed",OR(LEN(D69)=0,LEN(E69)=0)),1,0)</f>
        <v>0</v>
      </c>
      <c r="Y69" s="276"/>
      <c r="Z69" s="276"/>
      <c r="AB69" s="278" t="str">
        <f t="shared" ref="AB69" si="11">B69&amp;C69</f>
        <v/>
      </c>
    </row>
    <row r="70" spans="1:28" s="277" customFormat="1" ht="20.399999999999999">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12">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13">IF(AND(C70="Smelter not listed",OR(LEN(D70)=0,LEN(E70)=0)),1,0)</f>
        <v>0</v>
      </c>
      <c r="Y70" s="276"/>
      <c r="Z70" s="276"/>
      <c r="AB70" s="278" t="str">
        <f t="shared" ref="AB70:AB101" si="14">B70&amp;C70</f>
        <v/>
      </c>
    </row>
    <row r="71" spans="1:28" s="277" customFormat="1" ht="20.399999999999999">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12"/>
        <v/>
      </c>
      <c r="T71" s="225" t="str">
        <f ca="1">IF(B71="","",IF(ISERROR(MATCH($J71,SorP!$B$1:$B$6230,0)),"",INDIRECT("'SorP'!$A$"&amp;MATCH($J71,SorP!$B$1:$B$6230,0))))</f>
        <v/>
      </c>
      <c r="U71" s="241"/>
      <c r="V71" s="275" t="e">
        <f>IF(C71="",NA(),MATCH($B71&amp;$C71,'Smelter Look-up'!$J:$J,0))</f>
        <v>#N/A</v>
      </c>
      <c r="W71" s="276"/>
      <c r="X71" s="276">
        <f t="shared" ca="1" si="13"/>
        <v>0</v>
      </c>
      <c r="Y71" s="276"/>
      <c r="Z71" s="276"/>
      <c r="AB71" s="278" t="str">
        <f t="shared" si="14"/>
        <v/>
      </c>
    </row>
    <row r="72" spans="1:28" s="277" customFormat="1" ht="20.399999999999999">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12"/>
        <v/>
      </c>
      <c r="T72" s="225" t="str">
        <f ca="1">IF(B72="","",IF(ISERROR(MATCH($J72,SorP!$B$1:$B$6230,0)),"",INDIRECT("'SorP'!$A$"&amp;MATCH($J72,SorP!$B$1:$B$6230,0))))</f>
        <v/>
      </c>
      <c r="U72" s="241"/>
      <c r="V72" s="275" t="e">
        <f>IF(C72="",NA(),MATCH($B72&amp;$C72,'Smelter Look-up'!$J:$J,0))</f>
        <v>#N/A</v>
      </c>
      <c r="W72" s="276"/>
      <c r="X72" s="276">
        <f t="shared" ca="1" si="13"/>
        <v>0</v>
      </c>
      <c r="Y72" s="276"/>
      <c r="Z72" s="276"/>
      <c r="AB72" s="278" t="str">
        <f t="shared" si="14"/>
        <v/>
      </c>
    </row>
    <row r="73" spans="1:28" s="277" customFormat="1" ht="20.399999999999999">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12"/>
        <v/>
      </c>
      <c r="T73" s="225" t="str">
        <f ca="1">IF(B73="","",IF(ISERROR(MATCH($J73,SorP!$B$1:$B$6230,0)),"",INDIRECT("'SorP'!$A$"&amp;MATCH($J73,SorP!$B$1:$B$6230,0))))</f>
        <v/>
      </c>
      <c r="U73" s="241"/>
      <c r="V73" s="275" t="e">
        <f>IF(C73="",NA(),MATCH($B73&amp;$C73,'Smelter Look-up'!$J:$J,0))</f>
        <v>#N/A</v>
      </c>
      <c r="W73" s="276"/>
      <c r="X73" s="276">
        <f t="shared" ca="1" si="13"/>
        <v>0</v>
      </c>
      <c r="Y73" s="276"/>
      <c r="Z73" s="276"/>
      <c r="AB73" s="278" t="str">
        <f t="shared" si="14"/>
        <v/>
      </c>
    </row>
    <row r="74" spans="1:28" s="277" customFormat="1" ht="20.399999999999999">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12"/>
        <v/>
      </c>
      <c r="T74" s="225" t="str">
        <f ca="1">IF(B74="","",IF(ISERROR(MATCH($J74,SorP!$B$1:$B$6230,0)),"",INDIRECT("'SorP'!$A$"&amp;MATCH($J74,SorP!$B$1:$B$6230,0))))</f>
        <v/>
      </c>
      <c r="U74" s="241"/>
      <c r="V74" s="275" t="e">
        <f>IF(C74="",NA(),MATCH($B74&amp;$C74,'Smelter Look-up'!$J:$J,0))</f>
        <v>#N/A</v>
      </c>
      <c r="W74" s="276"/>
      <c r="X74" s="276">
        <f t="shared" ca="1" si="13"/>
        <v>0</v>
      </c>
      <c r="Y74" s="276"/>
      <c r="Z74" s="276"/>
      <c r="AB74" s="278" t="str">
        <f t="shared" si="14"/>
        <v/>
      </c>
    </row>
    <row r="75" spans="1:28" s="277" customFormat="1" ht="20.399999999999999">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12"/>
        <v/>
      </c>
      <c r="T75" s="225" t="str">
        <f ca="1">IF(B75="","",IF(ISERROR(MATCH($J75,SorP!$B$1:$B$6230,0)),"",INDIRECT("'SorP'!$A$"&amp;MATCH($J75,SorP!$B$1:$B$6230,0))))</f>
        <v/>
      </c>
      <c r="U75" s="241"/>
      <c r="V75" s="275" t="e">
        <f>IF(C75="",NA(),MATCH($B75&amp;$C75,'Smelter Look-up'!$J:$J,0))</f>
        <v>#N/A</v>
      </c>
      <c r="W75" s="276"/>
      <c r="X75" s="276">
        <f t="shared" ca="1" si="13"/>
        <v>0</v>
      </c>
      <c r="Y75" s="276"/>
      <c r="Z75" s="276"/>
      <c r="AB75" s="278" t="str">
        <f t="shared" si="14"/>
        <v/>
      </c>
    </row>
    <row r="76" spans="1:28" s="277" customFormat="1" ht="20.399999999999999">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12"/>
        <v/>
      </c>
      <c r="T76" s="225" t="str">
        <f ca="1">IF(B76="","",IF(ISERROR(MATCH($J76,SorP!$B$1:$B$6230,0)),"",INDIRECT("'SorP'!$A$"&amp;MATCH($J76,SorP!$B$1:$B$6230,0))))</f>
        <v/>
      </c>
      <c r="U76" s="241"/>
      <c r="V76" s="275" t="e">
        <f>IF(C76="",NA(),MATCH($B76&amp;$C76,'Smelter Look-up'!$J:$J,0))</f>
        <v>#N/A</v>
      </c>
      <c r="W76" s="276"/>
      <c r="X76" s="276">
        <f t="shared" ca="1" si="13"/>
        <v>0</v>
      </c>
      <c r="Y76" s="276"/>
      <c r="Z76" s="276"/>
      <c r="AB76" s="278" t="str">
        <f t="shared" si="14"/>
        <v/>
      </c>
    </row>
    <row r="77" spans="1:28" s="277" customFormat="1" ht="20.399999999999999">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12"/>
        <v/>
      </c>
      <c r="T77" s="225" t="str">
        <f ca="1">IF(B77="","",IF(ISERROR(MATCH($J77,SorP!$B$1:$B$6230,0)),"",INDIRECT("'SorP'!$A$"&amp;MATCH($J77,SorP!$B$1:$B$6230,0))))</f>
        <v/>
      </c>
      <c r="U77" s="241"/>
      <c r="V77" s="275" t="e">
        <f>IF(C77="",NA(),MATCH($B77&amp;$C77,'Smelter Look-up'!$J:$J,0))</f>
        <v>#N/A</v>
      </c>
      <c r="W77" s="276"/>
      <c r="X77" s="276">
        <f t="shared" ca="1" si="13"/>
        <v>0</v>
      </c>
      <c r="Y77" s="276"/>
      <c r="Z77" s="276"/>
      <c r="AB77" s="278" t="str">
        <f t="shared" si="14"/>
        <v/>
      </c>
    </row>
    <row r="78" spans="1:28" s="277" customFormat="1" ht="20.399999999999999">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12"/>
        <v/>
      </c>
      <c r="T78" s="225" t="str">
        <f ca="1">IF(B78="","",IF(ISERROR(MATCH($J78,SorP!$B$1:$B$6230,0)),"",INDIRECT("'SorP'!$A$"&amp;MATCH($J78,SorP!$B$1:$B$6230,0))))</f>
        <v/>
      </c>
      <c r="U78" s="241"/>
      <c r="V78" s="275" t="e">
        <f>IF(C78="",NA(),MATCH($B78&amp;$C78,'Smelter Look-up'!$J:$J,0))</f>
        <v>#N/A</v>
      </c>
      <c r="W78" s="276"/>
      <c r="X78" s="276">
        <f t="shared" ca="1" si="13"/>
        <v>0</v>
      </c>
      <c r="Y78" s="276"/>
      <c r="Z78" s="276"/>
      <c r="AB78" s="278" t="str">
        <f t="shared" si="14"/>
        <v/>
      </c>
    </row>
    <row r="79" spans="1:28" s="277" customFormat="1" ht="20.399999999999999">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12"/>
        <v/>
      </c>
      <c r="T79" s="225" t="str">
        <f ca="1">IF(B79="","",IF(ISERROR(MATCH($J79,SorP!$B$1:$B$6230,0)),"",INDIRECT("'SorP'!$A$"&amp;MATCH($J79,SorP!$B$1:$B$6230,0))))</f>
        <v/>
      </c>
      <c r="U79" s="241"/>
      <c r="V79" s="275" t="e">
        <f>IF(C79="",NA(),MATCH($B79&amp;$C79,'Smelter Look-up'!$J:$J,0))</f>
        <v>#N/A</v>
      </c>
      <c r="W79" s="276"/>
      <c r="X79" s="276">
        <f t="shared" ca="1" si="13"/>
        <v>0</v>
      </c>
      <c r="Y79" s="276"/>
      <c r="Z79" s="276"/>
      <c r="AB79" s="278" t="str">
        <f t="shared" si="14"/>
        <v/>
      </c>
    </row>
    <row r="80" spans="1:28" s="277" customFormat="1" ht="20.399999999999999">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12"/>
        <v/>
      </c>
      <c r="T80" s="225" t="str">
        <f ca="1">IF(B80="","",IF(ISERROR(MATCH($J80,SorP!$B$1:$B$6230,0)),"",INDIRECT("'SorP'!$A$"&amp;MATCH($J80,SorP!$B$1:$B$6230,0))))</f>
        <v/>
      </c>
      <c r="U80" s="241"/>
      <c r="V80" s="275" t="e">
        <f>IF(C80="",NA(),MATCH($B80&amp;$C80,'Smelter Look-up'!$J:$J,0))</f>
        <v>#N/A</v>
      </c>
      <c r="W80" s="276"/>
      <c r="X80" s="276">
        <f t="shared" ca="1" si="13"/>
        <v>0</v>
      </c>
      <c r="Y80" s="276"/>
      <c r="Z80" s="276"/>
      <c r="AB80" s="278" t="str">
        <f t="shared" si="14"/>
        <v/>
      </c>
    </row>
    <row r="81" spans="1:28" s="277" customFormat="1" ht="20.399999999999999">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12"/>
        <v/>
      </c>
      <c r="T81" s="225" t="str">
        <f ca="1">IF(B81="","",IF(ISERROR(MATCH($J81,SorP!$B$1:$B$6230,0)),"",INDIRECT("'SorP'!$A$"&amp;MATCH($J81,SorP!$B$1:$B$6230,0))))</f>
        <v/>
      </c>
      <c r="U81" s="241"/>
      <c r="V81" s="275" t="e">
        <f>IF(C81="",NA(),MATCH($B81&amp;$C81,'Smelter Look-up'!$J:$J,0))</f>
        <v>#N/A</v>
      </c>
      <c r="W81" s="276"/>
      <c r="X81" s="276">
        <f t="shared" ca="1" si="13"/>
        <v>0</v>
      </c>
      <c r="Y81" s="276"/>
      <c r="Z81" s="276"/>
      <c r="AB81" s="278" t="str">
        <f t="shared" si="14"/>
        <v/>
      </c>
    </row>
    <row r="82" spans="1:28" s="277" customFormat="1" ht="20.399999999999999">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12"/>
        <v/>
      </c>
      <c r="T82" s="225" t="str">
        <f ca="1">IF(B82="","",IF(ISERROR(MATCH($J82,SorP!$B$1:$B$6230,0)),"",INDIRECT("'SorP'!$A$"&amp;MATCH($J82,SorP!$B$1:$B$6230,0))))</f>
        <v/>
      </c>
      <c r="U82" s="241"/>
      <c r="V82" s="275" t="e">
        <f>IF(C82="",NA(),MATCH($B82&amp;$C82,'Smelter Look-up'!$J:$J,0))</f>
        <v>#N/A</v>
      </c>
      <c r="W82" s="276"/>
      <c r="X82" s="276">
        <f t="shared" ca="1" si="13"/>
        <v>0</v>
      </c>
      <c r="Y82" s="276"/>
      <c r="Z82" s="276"/>
      <c r="AB82" s="278" t="str">
        <f t="shared" si="14"/>
        <v/>
      </c>
    </row>
    <row r="83" spans="1:28" s="277" customFormat="1" ht="20.399999999999999">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12"/>
        <v/>
      </c>
      <c r="T83" s="225" t="str">
        <f ca="1">IF(B83="","",IF(ISERROR(MATCH($J83,SorP!$B$1:$B$6230,0)),"",INDIRECT("'SorP'!$A$"&amp;MATCH($J83,SorP!$B$1:$B$6230,0))))</f>
        <v/>
      </c>
      <c r="U83" s="241"/>
      <c r="V83" s="275" t="e">
        <f>IF(C83="",NA(),MATCH($B83&amp;$C83,'Smelter Look-up'!$J:$J,0))</f>
        <v>#N/A</v>
      </c>
      <c r="W83" s="276"/>
      <c r="X83" s="276">
        <f t="shared" ca="1" si="13"/>
        <v>0</v>
      </c>
      <c r="Y83" s="276"/>
      <c r="Z83" s="276"/>
      <c r="AB83" s="278" t="str">
        <f t="shared" si="14"/>
        <v/>
      </c>
    </row>
    <row r="84" spans="1:28" s="277" customFormat="1" ht="20.399999999999999">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12"/>
        <v/>
      </c>
      <c r="T84" s="225" t="str">
        <f ca="1">IF(B84="","",IF(ISERROR(MATCH($J84,SorP!$B$1:$B$6230,0)),"",INDIRECT("'SorP'!$A$"&amp;MATCH($J84,SorP!$B$1:$B$6230,0))))</f>
        <v/>
      </c>
      <c r="U84" s="241"/>
      <c r="V84" s="275" t="e">
        <f>IF(C84="",NA(),MATCH($B84&amp;$C84,'Smelter Look-up'!$J:$J,0))</f>
        <v>#N/A</v>
      </c>
      <c r="W84" s="276"/>
      <c r="X84" s="276">
        <f t="shared" ca="1" si="13"/>
        <v>0</v>
      </c>
      <c r="Y84" s="276"/>
      <c r="Z84" s="276"/>
      <c r="AB84" s="278" t="str">
        <f t="shared" si="14"/>
        <v/>
      </c>
    </row>
    <row r="85" spans="1:28" s="277" customFormat="1" ht="20.399999999999999">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12"/>
        <v/>
      </c>
      <c r="T85" s="225" t="str">
        <f ca="1">IF(B85="","",IF(ISERROR(MATCH($J85,SorP!$B$1:$B$6230,0)),"",INDIRECT("'SorP'!$A$"&amp;MATCH($J85,SorP!$B$1:$B$6230,0))))</f>
        <v/>
      </c>
      <c r="U85" s="241"/>
      <c r="V85" s="275" t="e">
        <f>IF(C85="",NA(),MATCH($B85&amp;$C85,'Smelter Look-up'!$J:$J,0))</f>
        <v>#N/A</v>
      </c>
      <c r="W85" s="276"/>
      <c r="X85" s="276">
        <f t="shared" ca="1" si="13"/>
        <v>0</v>
      </c>
      <c r="Y85" s="276"/>
      <c r="Z85" s="276"/>
      <c r="AB85" s="278" t="str">
        <f t="shared" si="14"/>
        <v/>
      </c>
    </row>
    <row r="86" spans="1:28" s="277" customFormat="1" ht="20.399999999999999">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12"/>
        <v/>
      </c>
      <c r="T86" s="225" t="str">
        <f ca="1">IF(B86="","",IF(ISERROR(MATCH($J86,SorP!$B$1:$B$6230,0)),"",INDIRECT("'SorP'!$A$"&amp;MATCH($J86,SorP!$B$1:$B$6230,0))))</f>
        <v/>
      </c>
      <c r="U86" s="241"/>
      <c r="V86" s="275" t="e">
        <f>IF(C86="",NA(),MATCH($B86&amp;$C86,'Smelter Look-up'!$J:$J,0))</f>
        <v>#N/A</v>
      </c>
      <c r="W86" s="276"/>
      <c r="X86" s="276">
        <f t="shared" ca="1" si="13"/>
        <v>0</v>
      </c>
      <c r="Y86" s="276"/>
      <c r="Z86" s="276"/>
      <c r="AB86" s="278" t="str">
        <f t="shared" si="14"/>
        <v/>
      </c>
    </row>
    <row r="87" spans="1:28" s="277" customFormat="1" ht="20.399999999999999">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12"/>
        <v/>
      </c>
      <c r="T87" s="225" t="str">
        <f ca="1">IF(B87="","",IF(ISERROR(MATCH($J87,SorP!$B$1:$B$6230,0)),"",INDIRECT("'SorP'!$A$"&amp;MATCH($J87,SorP!$B$1:$B$6230,0))))</f>
        <v/>
      </c>
      <c r="U87" s="241"/>
      <c r="V87" s="275" t="e">
        <f>IF(C87="",NA(),MATCH($B87&amp;$C87,'Smelter Look-up'!$J:$J,0))</f>
        <v>#N/A</v>
      </c>
      <c r="W87" s="276"/>
      <c r="X87" s="276">
        <f t="shared" ca="1" si="13"/>
        <v>0</v>
      </c>
      <c r="Y87" s="276"/>
      <c r="Z87" s="276"/>
      <c r="AB87" s="278" t="str">
        <f t="shared" si="14"/>
        <v/>
      </c>
    </row>
    <row r="88" spans="1:28" s="277" customFormat="1" ht="20.399999999999999">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12"/>
        <v/>
      </c>
      <c r="T88" s="225" t="str">
        <f ca="1">IF(B88="","",IF(ISERROR(MATCH($J88,SorP!$B$1:$B$6230,0)),"",INDIRECT("'SorP'!$A$"&amp;MATCH($J88,SorP!$B$1:$B$6230,0))))</f>
        <v/>
      </c>
      <c r="U88" s="241"/>
      <c r="V88" s="275" t="e">
        <f>IF(C88="",NA(),MATCH($B88&amp;$C88,'Smelter Look-up'!$J:$J,0))</f>
        <v>#N/A</v>
      </c>
      <c r="W88" s="276"/>
      <c r="X88" s="276">
        <f t="shared" ca="1" si="13"/>
        <v>0</v>
      </c>
      <c r="Y88" s="276"/>
      <c r="Z88" s="276"/>
      <c r="AB88" s="278" t="str">
        <f t="shared" si="14"/>
        <v/>
      </c>
    </row>
    <row r="89" spans="1:28" s="277" customFormat="1" ht="20.399999999999999">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20.399999999999999">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20.399999999999999">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20.399999999999999">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0.399999999999999">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0.399999999999999">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0.399999999999999">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0.399999999999999">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0.399999999999999">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0.399999999999999">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0.399999999999999">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0.399999999999999">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0.399999999999999">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0.399999999999999">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0.399999999999999">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0.399999999999999">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0.399999999999999">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399999999999999">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399999999999999">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399999999999999">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399999999999999">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399999999999999">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399999999999999">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399999999999999">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399999999999999">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399999999999999">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399999999999999">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399999999999999">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399999999999999">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399999999999999">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399999999999999">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399999999999999">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399999999999999">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399999999999999">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399999999999999">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399999999999999">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399999999999999">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399999999999999">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399999999999999">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399999999999999">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399999999999999">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399999999999999">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399999999999999">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399999999999999">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399999999999999">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399999999999999">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399999999999999">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399999999999999">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399999999999999">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399999999999999">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399999999999999">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399999999999999">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399999999999999">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399999999999999">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399999999999999">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399999999999999">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399999999999999">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399999999999999">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399999999999999">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399999999999999">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399999999999999">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399999999999999">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399999999999999">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399999999999999">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399999999999999">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399999999999999">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399999999999999">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399999999999999">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399999999999999">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399999999999999">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399999999999999">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399999999999999">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399999999999999">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399999999999999">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399999999999999">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399999999999999">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399999999999999">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399999999999999">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399999999999999">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399999999999999">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399999999999999">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399999999999999">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399999999999999">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399999999999999">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399999999999999">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399999999999999">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399999999999999">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399999999999999">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399999999999999">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399999999999999">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399999999999999">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399999999999999">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399999999999999">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399999999999999">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399999999999999">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399999999999999">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399999999999999">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399999999999999">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399999999999999">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399999999999999">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399999999999999">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399999999999999">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399999999999999">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399999999999999">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399999999999999">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399999999999999">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399999999999999">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399999999999999">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399999999999999">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399999999999999">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399999999999999">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399999999999999">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399999999999999">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399999999999999">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399999999999999">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399999999999999">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399999999999999">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399999999999999">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399999999999999">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399999999999999">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399999999999999">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399999999999999">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399999999999999">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399999999999999">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399999999999999">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399999999999999">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399999999999999">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399999999999999">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399999999999999">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399999999999999">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399999999999999">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399999999999999">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399999999999999">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399999999999999">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399999999999999">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399999999999999">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399999999999999">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399999999999999">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399999999999999">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399999999999999">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399999999999999">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399999999999999">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399999999999999">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399999999999999">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399999999999999">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399999999999999">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399999999999999">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399999999999999">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399999999999999">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399999999999999">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399999999999999">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399999999999999">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399999999999999">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399999999999999">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399999999999999">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399999999999999">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399999999999999">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399999999999999">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399999999999999">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399999999999999">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399999999999999">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399999999999999">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399999999999999">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399999999999999">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399999999999999">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399999999999999">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399999999999999">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399999999999999">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399999999999999">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399999999999999">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399999999999999">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399999999999999">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399999999999999">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399999999999999">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399999999999999">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399999999999999">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399999999999999">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399999999999999">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399999999999999">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399999999999999">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399999999999999">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399999999999999">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399999999999999">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399999999999999">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399999999999999">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399999999999999">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399999999999999">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399999999999999">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399999999999999">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399999999999999">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399999999999999">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399999999999999">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399999999999999">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399999999999999">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399999999999999">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399999999999999">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399999999999999">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399999999999999">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399999999999999">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399999999999999">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399999999999999">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399999999999999">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399999999999999">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399999999999999">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399999999999999">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399999999999999">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399999999999999">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399999999999999">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399999999999999">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399999999999999">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399999999999999">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399999999999999">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399999999999999">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399999999999999">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399999999999999">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399999999999999">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399999999999999">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399999999999999">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399999999999999">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399999999999999">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399999999999999">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399999999999999">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399999999999999">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399999999999999">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399999999999999">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399999999999999">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399999999999999">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399999999999999">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399999999999999">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399999999999999">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399999999999999">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399999999999999">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399999999999999">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399999999999999">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399999999999999">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399999999999999">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399999999999999">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399999999999999">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399999999999999">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399999999999999">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399999999999999">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399999999999999">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399999999999999">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399999999999999">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399999999999999">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399999999999999">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399999999999999">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399999999999999">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399999999999999">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399999999999999">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399999999999999">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399999999999999">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399999999999999">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399999999999999">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399999999999999">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399999999999999">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399999999999999">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399999999999999">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399999999999999">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399999999999999">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399999999999999">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399999999999999">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399999999999999">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399999999999999">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399999999999999">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399999999999999">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399999999999999">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399999999999999">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399999999999999">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399999999999999">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399999999999999">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399999999999999">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399999999999999">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399999999999999">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399999999999999">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399999999999999">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399999999999999">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399999999999999">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399999999999999">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399999999999999">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399999999999999">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399999999999999">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399999999999999">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399999999999999">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399999999999999">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399999999999999">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399999999999999">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399999999999999">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399999999999999">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399999999999999">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399999999999999">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399999999999999">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399999999999999">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399999999999999">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399999999999999">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399999999999999">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399999999999999">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399999999999999">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399999999999999">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399999999999999">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399999999999999">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399999999999999">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399999999999999">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399999999999999">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399999999999999">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399999999999999">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399999999999999">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399999999999999">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399999999999999">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399999999999999">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399999999999999">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399999999999999">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399999999999999">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399999999999999">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399999999999999">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399999999999999">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399999999999999">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399999999999999">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399999999999999">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399999999999999">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399999999999999">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399999999999999">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399999999999999">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399999999999999">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399999999999999">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399999999999999">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399999999999999">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399999999999999">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399999999999999">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399999999999999">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399999999999999">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399999999999999">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399999999999999">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399999999999999">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399999999999999">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399999999999999">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399999999999999">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399999999999999">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399999999999999">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399999999999999">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399999999999999">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399999999999999">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399999999999999">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399999999999999">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399999999999999">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399999999999999">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399999999999999">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399999999999999">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399999999999999">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399999999999999">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399999999999999">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399999999999999">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399999999999999">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399999999999999">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399999999999999">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399999999999999">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399999999999999">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399999999999999">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399999999999999">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399999999999999">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399999999999999">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399999999999999">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399999999999999">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399999999999999">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399999999999999">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399999999999999">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399999999999999">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399999999999999">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399999999999999">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399999999999999">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399999999999999">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399999999999999">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399999999999999">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399999999999999">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399999999999999">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399999999999999">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399999999999999">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399999999999999">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399999999999999">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399999999999999">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399999999999999">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399999999999999">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399999999999999">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399999999999999">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399999999999999">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399999999999999">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399999999999999">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399999999999999">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399999999999999">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399999999999999">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399999999999999">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399999999999999">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399999999999999">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399999999999999">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399999999999999">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399999999999999">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399999999999999">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399999999999999">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399999999999999">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399999999999999">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399999999999999">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399999999999999">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399999999999999">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399999999999999">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399999999999999">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399999999999999">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399999999999999">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399999999999999">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399999999999999">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399999999999999">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399999999999999">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399999999999999">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399999999999999">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399999999999999">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399999999999999">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399999999999999">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399999999999999">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399999999999999">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399999999999999">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399999999999999">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399999999999999">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399999999999999">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399999999999999">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399999999999999">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399999999999999">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399999999999999">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399999999999999">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399999999999999">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399999999999999">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399999999999999">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399999999999999">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399999999999999">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399999999999999">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399999999999999">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399999999999999">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399999999999999">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399999999999999">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399999999999999">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399999999999999">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399999999999999">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399999999999999">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399999999999999">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399999999999999">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399999999999999">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399999999999999">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399999999999999">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399999999999999">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399999999999999">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399999999999999">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399999999999999">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399999999999999">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399999999999999">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399999999999999">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399999999999999">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399999999999999">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399999999999999">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399999999999999">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399999999999999">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399999999999999">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399999999999999">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399999999999999">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399999999999999">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399999999999999">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399999999999999">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399999999999999">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399999999999999">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399999999999999">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399999999999999">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399999999999999">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399999999999999">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399999999999999">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399999999999999">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399999999999999">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399999999999999">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399999999999999">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399999999999999">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399999999999999">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399999999999999">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399999999999999">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399999999999999">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399999999999999">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399999999999999">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399999999999999">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399999999999999">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399999999999999">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399999999999999">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399999999999999">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399999999999999">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399999999999999">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399999999999999">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399999999999999">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399999999999999">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399999999999999">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399999999999999">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399999999999999">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399999999999999">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399999999999999">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399999999999999">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399999999999999">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399999999999999">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399999999999999">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399999999999999">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399999999999999">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399999999999999">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399999999999999">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399999999999999">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399999999999999">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399999999999999">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399999999999999">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399999999999999">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399999999999999">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399999999999999">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399999999999999">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399999999999999">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399999999999999">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399999999999999">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399999999999999">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399999999999999">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399999999999999">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399999999999999">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399999999999999">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399999999999999">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399999999999999">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399999999999999">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399999999999999">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399999999999999">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399999999999999">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399999999999999">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399999999999999">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399999999999999">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399999999999999">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399999999999999">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399999999999999">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399999999999999">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399999999999999">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399999999999999">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399999999999999">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399999999999999">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399999999999999">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399999999999999">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399999999999999">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399999999999999">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399999999999999">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399999999999999">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399999999999999">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399999999999999">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399999999999999">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399999999999999">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399999999999999">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399999999999999">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399999999999999">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399999999999999">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399999999999999">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399999999999999">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399999999999999">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399999999999999">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399999999999999">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399999999999999">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399999999999999">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399999999999999">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399999999999999">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399999999999999">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399999999999999">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399999999999999">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399999999999999">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399999999999999">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399999999999999">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399999999999999">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399999999999999">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399999999999999">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399999999999999">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399999999999999">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399999999999999">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399999999999999">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399999999999999">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399999999999999">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399999999999999">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399999999999999">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399999999999999">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399999999999999">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399999999999999">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399999999999999">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399999999999999">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399999999999999">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399999999999999">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399999999999999">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399999999999999">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399999999999999">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399999999999999">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399999999999999">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399999999999999">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399999999999999">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399999999999999">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399999999999999">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399999999999999">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399999999999999">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399999999999999">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399999999999999">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399999999999999">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399999999999999">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399999999999999">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399999999999999">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399999999999999">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399999999999999">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399999999999999">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399999999999999">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399999999999999">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399999999999999">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399999999999999">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399999999999999">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399999999999999">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399999999999999">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399999999999999">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399999999999999">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399999999999999">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399999999999999">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399999999999999">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399999999999999">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399999999999999">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399999999999999">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399999999999999">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399999999999999">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399999999999999">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399999999999999">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399999999999999">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399999999999999">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399999999999999">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399999999999999">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399999999999999">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399999999999999">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399999999999999">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399999999999999">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399999999999999">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399999999999999">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399999999999999">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399999999999999">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399999999999999">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399999999999999">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399999999999999">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399999999999999">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399999999999999">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399999999999999">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399999999999999">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399999999999999">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399999999999999">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399999999999999">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399999999999999">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399999999999999">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399999999999999">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399999999999999">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399999999999999">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399999999999999">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399999999999999">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399999999999999">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399999999999999">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399999999999999">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399999999999999">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399999999999999">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399999999999999">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399999999999999">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399999999999999">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399999999999999">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399999999999999">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399999999999999">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399999999999999">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399999999999999">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399999999999999">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399999999999999">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399999999999999">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399999999999999">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399999999999999">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399999999999999">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399999999999999">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399999999999999">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399999999999999">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399999999999999">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399999999999999">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399999999999999">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399999999999999">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399999999999999">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399999999999999">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399999999999999">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399999999999999">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399999999999999">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399999999999999">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399999999999999">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399999999999999">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399999999999999">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399999999999999">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399999999999999">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399999999999999">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399999999999999">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399999999999999">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399999999999999">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399999999999999">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399999999999999">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399999999999999">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399999999999999">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399999999999999">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399999999999999">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399999999999999">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399999999999999">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399999999999999">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399999999999999">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399999999999999">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399999999999999">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399999999999999">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399999999999999">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399999999999999">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399999999999999">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399999999999999">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399999999999999">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399999999999999">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399999999999999">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399999999999999">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399999999999999">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399999999999999">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399999999999999">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399999999999999">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399999999999999">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399999999999999">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399999999999999">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399999999999999">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399999999999999">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399999999999999">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399999999999999">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399999999999999">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399999999999999">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399999999999999">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399999999999999">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399999999999999">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399999999999999">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399999999999999">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399999999999999">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399999999999999">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399999999999999">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399999999999999">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399999999999999">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399999999999999">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399999999999999">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399999999999999">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399999999999999">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399999999999999">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399999999999999">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399999999999999">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399999999999999">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399999999999999">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399999999999999">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399999999999999">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399999999999999">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399999999999999">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399999999999999">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399999999999999">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399999999999999">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399999999999999">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399999999999999">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399999999999999">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399999999999999">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399999999999999">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399999999999999">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399999999999999">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399999999999999">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399999999999999">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399999999999999">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399999999999999">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399999999999999">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399999999999999">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399999999999999">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399999999999999">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399999999999999">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399999999999999">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399999999999999">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399999999999999">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399999999999999">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399999999999999">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399999999999999">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399999999999999">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399999999999999">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399999999999999">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399999999999999">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399999999999999">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399999999999999">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399999999999999">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399999999999999">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399999999999999">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399999999999999">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399999999999999">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399999999999999">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399999999999999">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399999999999999">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399999999999999">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399999999999999">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399999999999999">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399999999999999">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399999999999999">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399999999999999">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399999999999999">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399999999999999">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399999999999999">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399999999999999">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399999999999999">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399999999999999">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399999999999999">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399999999999999">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399999999999999">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399999999999999">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399999999999999">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399999999999999">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399999999999999">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399999999999999">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399999999999999">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399999999999999">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399999999999999">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399999999999999">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399999999999999">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399999999999999">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399999999999999">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399999999999999">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399999999999999">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399999999999999">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399999999999999">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399999999999999">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399999999999999">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399999999999999">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399999999999999">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399999999999999">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399999999999999">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399999999999999">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399999999999999">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399999999999999">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399999999999999">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399999999999999">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399999999999999">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399999999999999">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399999999999999">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399999999999999">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399999999999999">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399999999999999">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399999999999999">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399999999999999">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399999999999999">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399999999999999">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399999999999999">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399999999999999">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399999999999999">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399999999999999">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399999999999999">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399999999999999">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399999999999999">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399999999999999">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399999999999999">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399999999999999">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399999999999999">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399999999999999">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399999999999999">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399999999999999">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399999999999999">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399999999999999">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399999999999999">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399999999999999">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399999999999999">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399999999999999">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399999999999999">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399999999999999">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399999999999999">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399999999999999">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399999999999999">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399999999999999">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399999999999999">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399999999999999">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399999999999999">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399999999999999">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399999999999999">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399999999999999">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399999999999999">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399999999999999">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399999999999999">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399999999999999">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399999999999999">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399999999999999">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399999999999999">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399999999999999">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399999999999999">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399999999999999">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399999999999999">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399999999999999">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399999999999999">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399999999999999">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399999999999999">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399999999999999">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399999999999999">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399999999999999">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399999999999999">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399999999999999">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399999999999999">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399999999999999">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399999999999999">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399999999999999">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399999999999999">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399999999999999">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399999999999999">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399999999999999">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399999999999999">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399999999999999">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399999999999999">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399999999999999">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399999999999999">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399999999999999">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399999999999999">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399999999999999">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399999999999999">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399999999999999">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399999999999999">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399999999999999">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399999999999999">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399999999999999">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399999999999999">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399999999999999">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399999999999999">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399999999999999">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399999999999999">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399999999999999">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399999999999999">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399999999999999">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399999999999999">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399999999999999">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399999999999999">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399999999999999">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399999999999999">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399999999999999">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399999999999999">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399999999999999">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399999999999999">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399999999999999">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399999999999999">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399999999999999">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399999999999999">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399999999999999">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399999999999999">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399999999999999">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399999999999999">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399999999999999">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399999999999999">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399999999999999">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399999999999999">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399999999999999">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399999999999999">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399999999999999">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399999999999999">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399999999999999">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399999999999999">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399999999999999">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399999999999999">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399999999999999">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399999999999999">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399999999999999">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399999999999999">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399999999999999">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399999999999999">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399999999999999">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399999999999999">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399999999999999">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399999999999999">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399999999999999">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399999999999999">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399999999999999">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399999999999999">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399999999999999">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399999999999999">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399999999999999">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399999999999999">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399999999999999">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399999999999999">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399999999999999">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399999999999999">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399999999999999">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399999999999999">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399999999999999">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399999999999999">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399999999999999">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399999999999999">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399999999999999">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399999999999999">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399999999999999">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399999999999999">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399999999999999">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399999999999999">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399999999999999">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399999999999999">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399999999999999">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399999999999999">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399999999999999">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399999999999999">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399999999999999">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399999999999999">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399999999999999">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399999999999999">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399999999999999">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399999999999999">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399999999999999">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399999999999999">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399999999999999">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399999999999999">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399999999999999">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399999999999999">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399999999999999">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399999999999999">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399999999999999">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399999999999999">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399999999999999">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399999999999999">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399999999999999">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399999999999999">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399999999999999">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399999999999999">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399999999999999">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399999999999999">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399999999999999">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399999999999999">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399999999999999">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399999999999999">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399999999999999">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399999999999999">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399999999999999">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399999999999999">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399999999999999">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399999999999999">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399999999999999">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399999999999999">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399999999999999">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399999999999999">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399999999999999">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399999999999999">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399999999999999">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399999999999999">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399999999999999">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399999999999999">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399999999999999">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399999999999999">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399999999999999">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399999999999999">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399999999999999">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399999999999999">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399999999999999">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399999999999999">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399999999999999">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399999999999999">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399999999999999">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399999999999999">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399999999999999">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399999999999999">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399999999999999">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399999999999999">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399999999999999">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399999999999999">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399999999999999">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399999999999999">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399999999999999">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399999999999999">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399999999999999">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399999999999999">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399999999999999">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399999999999999">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399999999999999">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399999999999999">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399999999999999">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399999999999999">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399999999999999">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399999999999999">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399999999999999">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399999999999999">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399999999999999">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399999999999999">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399999999999999">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399999999999999">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399999999999999">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399999999999999">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399999999999999">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399999999999999">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399999999999999">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399999999999999">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399999999999999">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399999999999999">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399999999999999">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399999999999999">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399999999999999">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399999999999999">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399999999999999">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399999999999999">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399999999999999">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399999999999999">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399999999999999">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399999999999999">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399999999999999">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399999999999999">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399999999999999">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399999999999999">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399999999999999">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399999999999999">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399999999999999">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399999999999999">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399999999999999">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399999999999999">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399999999999999">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399999999999999">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399999999999999">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399999999999999">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399999999999999">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399999999999999">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399999999999999">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399999999999999">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399999999999999">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399999999999999">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399999999999999">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399999999999999">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399999999999999">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399999999999999">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399999999999999">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399999999999999">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399999999999999">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399999999999999">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399999999999999">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399999999999999">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399999999999999">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399999999999999">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399999999999999">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399999999999999">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399999999999999">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399999999999999">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399999999999999">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399999999999999">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399999999999999">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399999999999999">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399999999999999">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399999999999999">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399999999999999">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399999999999999">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399999999999999">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399999999999999">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399999999999999">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399999999999999">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399999999999999">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399999999999999">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399999999999999">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399999999999999">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399999999999999">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399999999999999">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399999999999999">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399999999999999">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399999999999999">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399999999999999">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399999999999999">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399999999999999">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399999999999999">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399999999999999">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399999999999999">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399999999999999">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399999999999999">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399999999999999">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399999999999999">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399999999999999">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399999999999999">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399999999999999">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399999999999999">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399999999999999">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399999999999999">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399999999999999">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399999999999999">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399999999999999">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399999999999999">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399999999999999">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399999999999999">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399999999999999">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399999999999999">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399999999999999">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399999999999999">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399999999999999">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399999999999999">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399999999999999">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399999999999999">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399999999999999">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399999999999999">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399999999999999">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399999999999999">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399999999999999">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399999999999999">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399999999999999">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399999999999999">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399999999999999">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399999999999999">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399999999999999">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399999999999999">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399999999999999">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399999999999999">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399999999999999">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399999999999999">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399999999999999">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399999999999999">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399999999999999">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399999999999999">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399999999999999">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399999999999999">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399999999999999">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399999999999999">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399999999999999">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399999999999999">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399999999999999">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399999999999999">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399999999999999">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399999999999999">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399999999999999">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399999999999999">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399999999999999">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399999999999999">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399999999999999">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399999999999999">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399999999999999">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399999999999999">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399999999999999">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399999999999999">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399999999999999">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399999999999999">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399999999999999">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399999999999999">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399999999999999">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399999999999999">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399999999999999">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399999999999999">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399999999999999">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399999999999999">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399999999999999">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399999999999999">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399999999999999">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399999999999999">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399999999999999">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399999999999999">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399999999999999">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399999999999999">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399999999999999">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399999999999999">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399999999999999">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399999999999999">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399999999999999">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399999999999999">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399999999999999">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399999999999999">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399999999999999">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399999999999999">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399999999999999">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399999999999999">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399999999999999">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399999999999999">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399999999999999">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399999999999999">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399999999999999">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399999999999999">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399999999999999">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399999999999999">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399999999999999">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399999999999999">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399999999999999">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399999999999999">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399999999999999">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399999999999999">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399999999999999">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399999999999999">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399999999999999">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399999999999999">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399999999999999">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399999999999999">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399999999999999">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399999999999999">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399999999999999">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399999999999999">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399999999999999">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399999999999999">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399999999999999">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399999999999999">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399999999999999">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399999999999999">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399999999999999">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399999999999999">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399999999999999">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399999999999999">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399999999999999">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399999999999999">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399999999999999">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399999999999999">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399999999999999">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399999999999999">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399999999999999">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399999999999999">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399999999999999">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399999999999999">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399999999999999">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399999999999999">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399999999999999">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399999999999999">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399999999999999">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399999999999999">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399999999999999">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399999999999999">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399999999999999">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399999999999999">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399999999999999">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399999999999999">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399999999999999">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399999999999999">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399999999999999">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399999999999999">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399999999999999">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399999999999999">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399999999999999">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399999999999999">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399999999999999">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399999999999999">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399999999999999">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399999999999999">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399999999999999">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399999999999999">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399999999999999">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399999999999999">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399999999999999">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399999999999999">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399999999999999">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399999999999999">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399999999999999">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399999999999999">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399999999999999">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399999999999999">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399999999999999">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399999999999999">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399999999999999">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399999999999999">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399999999999999">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399999999999999">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399999999999999">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399999999999999">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399999999999999">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399999999999999">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399999999999999">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399999999999999">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399999999999999">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399999999999999">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399999999999999">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399999999999999">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399999999999999">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399999999999999">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399999999999999">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399999999999999">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399999999999999">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399999999999999">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399999999999999">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399999999999999">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399999999999999">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399999999999999">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399999999999999">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399999999999999">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399999999999999">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399999999999999">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399999999999999">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399999999999999">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399999999999999">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399999999999999">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399999999999999">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399999999999999">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399999999999999">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399999999999999">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399999999999999">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399999999999999">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399999999999999">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399999999999999">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399999999999999">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399999999999999">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399999999999999">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399999999999999">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399999999999999">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399999999999999">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399999999999999">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399999999999999">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399999999999999">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399999999999999">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399999999999999">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399999999999999">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399999999999999">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399999999999999">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399999999999999">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399999999999999">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399999999999999">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399999999999999">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399999999999999">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399999999999999">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399999999999999">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399999999999999">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399999999999999">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399999999999999">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399999999999999">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399999999999999">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399999999999999">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399999999999999">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399999999999999">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399999999999999">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399999999999999">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399999999999999">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399999999999999">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399999999999999">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399999999999999">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399999999999999">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399999999999999">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399999999999999">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399999999999999">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399999999999999">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399999999999999">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399999999999999">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399999999999999">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399999999999999">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399999999999999">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399999999999999">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399999999999999">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399999999999999">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399999999999999">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399999999999999">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399999999999999">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399999999999999">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399999999999999">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399999999999999">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399999999999999">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399999999999999">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399999999999999">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399999999999999">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399999999999999">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399999999999999">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399999999999999">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399999999999999">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399999999999999">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399999999999999">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399999999999999">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399999999999999">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399999999999999">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399999999999999">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399999999999999">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399999999999999">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399999999999999">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399999999999999">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399999999999999">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399999999999999">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399999999999999">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399999999999999">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399999999999999">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399999999999999">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399999999999999">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399999999999999">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399999999999999">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399999999999999">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399999999999999">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399999999999999">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399999999999999">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399999999999999">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399999999999999">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399999999999999">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399999999999999">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399999999999999">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399999999999999">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399999999999999">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399999999999999">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399999999999999">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399999999999999">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399999999999999">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399999999999999">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399999999999999">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399999999999999">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399999999999999">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399999999999999">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399999999999999">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399999999999999">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399999999999999">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399999999999999">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399999999999999">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399999999999999">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399999999999999">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399999999999999">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399999999999999">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399999999999999">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399999999999999">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399999999999999">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399999999999999">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399999999999999">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399999999999999">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399999999999999">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399999999999999">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399999999999999">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399999999999999">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399999999999999">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399999999999999">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399999999999999">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399999999999999">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399999999999999">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399999999999999">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399999999999999">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399999999999999">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399999999999999">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399999999999999">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399999999999999">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399999999999999">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399999999999999">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399999999999999">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399999999999999">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399999999999999">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399999999999999">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399999999999999">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399999999999999">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399999999999999">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399999999999999">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399999999999999">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399999999999999">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399999999999999">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399999999999999">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399999999999999">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399999999999999">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399999999999999">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399999999999999">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399999999999999">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399999999999999">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399999999999999">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399999999999999">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399999999999999">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399999999999999">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399999999999999">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399999999999999">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399999999999999">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399999999999999">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399999999999999">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399999999999999">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399999999999999">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399999999999999">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399999999999999">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399999999999999">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399999999999999">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399999999999999">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399999999999999">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399999999999999">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399999999999999">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399999999999999">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399999999999999">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399999999999999">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399999999999999">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399999999999999">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399999999999999">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399999999999999">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399999999999999">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399999999999999">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399999999999999">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399999999999999">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399999999999999">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399999999999999">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399999999999999">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399999999999999">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399999999999999">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399999999999999">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399999999999999">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399999999999999">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399999999999999">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399999999999999">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399999999999999">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399999999999999">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399999999999999">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399999999999999">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399999999999999">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399999999999999">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399999999999999">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399999999999999">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399999999999999">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399999999999999">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399999999999999">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399999999999999">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399999999999999">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399999999999999">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399999999999999">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399999999999999">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399999999999999">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399999999999999">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399999999999999">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399999999999999">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399999999999999">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399999999999999">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399999999999999">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399999999999999">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399999999999999">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399999999999999">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399999999999999">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399999999999999">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399999999999999">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399999999999999">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399999999999999">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399999999999999">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399999999999999">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399999999999999">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399999999999999">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399999999999999">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399999999999999">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399999999999999">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399999999999999">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399999999999999">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399999999999999">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399999999999999">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399999999999999">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399999999999999">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399999999999999">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399999999999999">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399999999999999">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399999999999999">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399999999999999">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399999999999999">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399999999999999">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399999999999999">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399999999999999">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399999999999999">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399999999999999">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399999999999999">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399999999999999">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399999999999999">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399999999999999">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399999999999999">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399999999999999">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399999999999999">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399999999999999">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399999999999999">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399999999999999">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399999999999999">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399999999999999">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399999999999999">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399999999999999">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399999999999999">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399999999999999">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399999999999999">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399999999999999">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399999999999999">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399999999999999">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399999999999999">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399999999999999">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399999999999999">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399999999999999">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399999999999999">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399999999999999">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399999999999999">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399999999999999">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399999999999999">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399999999999999">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399999999999999">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399999999999999">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399999999999999">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399999999999999">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399999999999999">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399999999999999">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399999999999999">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399999999999999">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399999999999999">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399999999999999">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399999999999999">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399999999999999">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399999999999999">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399999999999999">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399999999999999">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399999999999999">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399999999999999">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399999999999999">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399999999999999">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399999999999999">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399999999999999">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399999999999999">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399999999999999">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399999999999999">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399999999999999">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399999999999999">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399999999999999">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399999999999999">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399999999999999">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399999999999999">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399999999999999">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399999999999999">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399999999999999">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399999999999999">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399999999999999">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399999999999999">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399999999999999">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399999999999999">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399999999999999">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399999999999999">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399999999999999">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399999999999999">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399999999999999">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399999999999999">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399999999999999">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399999999999999">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399999999999999">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399999999999999">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399999999999999">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399999999999999">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399999999999999">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399999999999999">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399999999999999">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399999999999999">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399999999999999">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399999999999999">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399999999999999">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399999999999999">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399999999999999">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399999999999999">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399999999999999">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399999999999999">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399999999999999">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399999999999999">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399999999999999">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399999999999999">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399999999999999">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399999999999999">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399999999999999">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399999999999999">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399999999999999">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399999999999999">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399999999999999">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399999999999999">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399999999999999">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399999999999999">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399999999999999">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399999999999999">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399999999999999">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399999999999999">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399999999999999">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399999999999999">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399999999999999">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399999999999999">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399999999999999">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399999999999999">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399999999999999">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399999999999999">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399999999999999">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399999999999999">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399999999999999">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399999999999999">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399999999999999">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399999999999999">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399999999999999">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399999999999999">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399999999999999">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399999999999999">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399999999999999">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399999999999999">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399999999999999">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399999999999999">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399999999999999">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399999999999999">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399999999999999">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399999999999999">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399999999999999">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399999999999999">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399999999999999">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399999999999999">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399999999999999">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399999999999999">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399999999999999">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399999999999999">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399999999999999">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399999999999999">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399999999999999">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399999999999999">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399999999999999">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399999999999999">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399999999999999">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399999999999999">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399999999999999">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399999999999999">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399999999999999">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399999999999999">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399999999999999">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399999999999999">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399999999999999">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399999999999999">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399999999999999">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399999999999999">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399999999999999">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399999999999999">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399999999999999">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399999999999999">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399999999999999">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399999999999999">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399999999999999">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399999999999999">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399999999999999">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399999999999999">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399999999999999">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399999999999999">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399999999999999">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399999999999999">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399999999999999">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399999999999999">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399999999999999">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399999999999999">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399999999999999">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399999999999999">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399999999999999">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399999999999999">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399999999999999">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399999999999999">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399999999999999">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399999999999999">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399999999999999">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399999999999999">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399999999999999">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399999999999999">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399999999999999">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399999999999999">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399999999999999">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399999999999999">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399999999999999">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399999999999999">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399999999999999">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399999999999999">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399999999999999">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399999999999999">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399999999999999">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399999999999999">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399999999999999">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399999999999999">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399999999999999">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399999999999999">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399999999999999">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399999999999999">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399999999999999">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399999999999999">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399999999999999">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399999999999999">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399999999999999">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399999999999999">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399999999999999">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399999999999999">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399999999999999">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399999999999999">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399999999999999">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399999999999999">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399999999999999">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399999999999999">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399999999999999">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399999999999999">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399999999999999">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399999999999999">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399999999999999">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399999999999999">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399999999999999">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399999999999999">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399999999999999">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399999999999999">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399999999999999">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399999999999999">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399999999999999">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399999999999999">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399999999999999">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399999999999999">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399999999999999">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399999999999999">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399999999999999">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399999999999999">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399999999999999">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399999999999999">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399999999999999">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399999999999999">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399999999999999">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399999999999999">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399999999999999">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399999999999999">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399999999999999">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399999999999999">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399999999999999">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399999999999999">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399999999999999">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399999999999999">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399999999999999">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399999999999999">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399999999999999">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399999999999999">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399999999999999">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399999999999999">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399999999999999">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399999999999999">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399999999999999">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399999999999999">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399999999999999">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399999999999999">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399999999999999">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399999999999999">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399999999999999">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399999999999999">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399999999999999">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399999999999999">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399999999999999">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399999999999999">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399999999999999">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399999999999999">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399999999999999">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399999999999999">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399999999999999">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399999999999999">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399999999999999">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399999999999999">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399999999999999">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399999999999999">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399999999999999">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399999999999999">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399999999999999">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399999999999999">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399999999999999">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399999999999999">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399999999999999">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399999999999999">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399999999999999">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399999999999999">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399999999999999">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399999999999999">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399999999999999">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399999999999999">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399999999999999">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399999999999999">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399999999999999">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399999999999999">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399999999999999">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399999999999999">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399999999999999">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399999999999999">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399999999999999">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399999999999999">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399999999999999">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399999999999999">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399999999999999">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399999999999999">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399999999999999">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399999999999999">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399999999999999">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399999999999999">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399999999999999">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399999999999999">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399999999999999">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399999999999999">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399999999999999">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399999999999999">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399999999999999">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399999999999999">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399999999999999">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399999999999999">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399999999999999">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399999999999999">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399999999999999">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399999999999999">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399999999999999">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399999999999999">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399999999999999">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399999999999999">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399999999999999">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399999999999999">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399999999999999">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399999999999999">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399999999999999">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399999999999999">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399999999999999">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399999999999999">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399999999999999">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399999999999999">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399999999999999">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399999999999999">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399999999999999">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399999999999999">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399999999999999">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399999999999999">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399999999999999">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399999999999999">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399999999999999">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399999999999999">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399999999999999">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399999999999999">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399999999999999">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399999999999999">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399999999999999">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399999999999999">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399999999999999">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399999999999999">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399999999999999">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399999999999999">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399999999999999">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399999999999999">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399999999999999">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399999999999999">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399999999999999">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399999999999999">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399999999999999">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399999999999999">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399999999999999">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399999999999999">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399999999999999">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399999999999999">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399999999999999">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399999999999999">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399999999999999">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399999999999999">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399999999999999">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399999999999999">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399999999999999">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399999999999999">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399999999999999">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399999999999999">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399999999999999">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399999999999999">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399999999999999">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399999999999999">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399999999999999">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399999999999999">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399999999999999">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399999999999999">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399999999999999">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399999999999999">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399999999999999">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399999999999999">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399999999999999">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399999999999999">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399999999999999">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399999999999999">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399999999999999">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399999999999999">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399999999999999">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399999999999999">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399999999999999">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399999999999999">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399999999999999">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399999999999999">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399999999999999">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399999999999999">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399999999999999">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399999999999999">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399999999999999">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399999999999999">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399999999999999">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399999999999999">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399999999999999">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399999999999999">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399999999999999">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399999999999999">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399999999999999">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399999999999999">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399999999999999">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399999999999999">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399999999999999">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399999999999999">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399999999999999">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399999999999999">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399999999999999">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399999999999999">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399999999999999">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399999999999999">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399999999999999">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399999999999999">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399999999999999">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399999999999999">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399999999999999">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399999999999999">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399999999999999">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399999999999999">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399999999999999">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399999999999999">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399999999999999">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399999999999999">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399999999999999">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399999999999999">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399999999999999">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399999999999999">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399999999999999">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399999999999999">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399999999999999">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399999999999999">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399999999999999">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399999999999999">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399999999999999">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399999999999999">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399999999999999">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399999999999999">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399999999999999">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399999999999999">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399999999999999">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399999999999999">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399999999999999">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399999999999999">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399999999999999">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399999999999999">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399999999999999">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399999999999999">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399999999999999">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399999999999999">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399999999999999">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399999999999999">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399999999999999">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399999999999999">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399999999999999">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399999999999999">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399999999999999">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399999999999999">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399999999999999">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399999999999999">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399999999999999">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399999999999999">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399999999999999">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399999999999999">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399999999999999">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399999999999999">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399999999999999">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399999999999999">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399999999999999">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399999999999999">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399999999999999">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399999999999999">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399999999999999">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399999999999999">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399999999999999">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399999999999999">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399999999999999">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399999999999999">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399999999999999">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399999999999999">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399999999999999">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399999999999999">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399999999999999">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399999999999999">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399999999999999">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399999999999999">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399999999999999">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399999999999999">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399999999999999">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399999999999999">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399999999999999">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399999999999999">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399999999999999">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399999999999999">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399999999999999">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399999999999999">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399999999999999">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399999999999999">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399999999999999">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399999999999999">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399999999999999">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399999999999999">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399999999999999">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399999999999999">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399999999999999">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399999999999999">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399999999999999">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399999999999999">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399999999999999">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399999999999999">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399999999999999">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399999999999999">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399999999999999">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399999999999999">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399999999999999">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399999999999999">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399999999999999">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399999999999999">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399999999999999">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399999999999999">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399999999999999">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399999999999999">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399999999999999">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399999999999999">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399999999999999">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399999999999999">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399999999999999">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399999999999999">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399999999999999">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399999999999999">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399999999999999">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399999999999999">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399999999999999">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399999999999999">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399999999999999">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399999999999999">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399999999999999">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399999999999999">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399999999999999">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399999999999999">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399999999999999">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399999999999999">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399999999999999">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399999999999999">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399999999999999">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399999999999999">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399999999999999">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399999999999999">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399999999999999">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399999999999999">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399999999999999">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399999999999999">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399999999999999">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399999999999999">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399999999999999">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399999999999999">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399999999999999">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399999999999999">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399999999999999">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399999999999999">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399999999999999">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399999999999999">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399999999999999">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399999999999999">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399999999999999">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399999999999999">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399999999999999">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399999999999999">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399999999999999">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399999999999999">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399999999999999">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399999999999999">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399999999999999">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399999999999999">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399999999999999">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399999999999999">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399999999999999">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399999999999999">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399999999999999">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399999999999999">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399999999999999">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399999999999999">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399999999999999">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399999999999999">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399999999999999">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399999999999999">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399999999999999">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399999999999999">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399999999999999">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399999999999999">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399999999999999">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399999999999999">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399999999999999">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399999999999999">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399999999999999">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399999999999999">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399999999999999">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399999999999999">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399999999999999">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399999999999999">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399999999999999">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399999999999999">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399999999999999">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399999999999999">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399999999999999">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399999999999999">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399999999999999">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399999999999999">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399999999999999">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399999999999999">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399999999999999">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399999999999999">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399999999999999">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399999999999999">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399999999999999">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399999999999999">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399999999999999">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399999999999999">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399999999999999">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399999999999999">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399999999999999">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399999999999999">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399999999999999">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399999999999999">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399999999999999">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399999999999999">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399999999999999">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399999999999999">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399999999999999">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399999999999999">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399999999999999">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399999999999999">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399999999999999">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399999999999999">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399999999999999">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399999999999999">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399999999999999">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399999999999999">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399999999999999">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399999999999999">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399999999999999">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399999999999999">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399999999999999">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399999999999999">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399999999999999">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399999999999999">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399999999999999">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399999999999999">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399999999999999">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399999999999999">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399999999999999">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399999999999999">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399999999999999">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399999999999999">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399999999999999">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399999999999999">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399999999999999">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399999999999999">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399999999999999">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399999999999999">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399999999999999">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399999999999999">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399999999999999">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399999999999999">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399999999999999">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399999999999999">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399999999999999">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399999999999999">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399999999999999">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399999999999999">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399999999999999">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399999999999999">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399999999999999">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399999999999999">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399999999999999">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399999999999999">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399999999999999">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399999999999999">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399999999999999">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399999999999999">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399999999999999">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399999999999999">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399999999999999">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399999999999999">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399999999999999">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399999999999999">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399999999999999">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399999999999999">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399999999999999">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399999999999999">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399999999999999">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399999999999999">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399999999999999">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399999999999999">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399999999999999">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399999999999999">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399999999999999">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399999999999999">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399999999999999">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399999999999999">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399999999999999">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399999999999999">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399999999999999">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399999999999999">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399999999999999">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399999999999999">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399999999999999">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399999999999999">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399999999999999">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399999999999999">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399999999999999">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399999999999999">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399999999999999">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399999999999999">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399999999999999">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399999999999999">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399999999999999">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399999999999999">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399999999999999">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399999999999999">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399999999999999">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399999999999999">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399999999999999">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399999999999999">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399999999999999">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399999999999999">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399999999999999">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399999999999999">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399999999999999">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399999999999999">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399999999999999">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399999999999999">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399999999999999">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399999999999999">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399999999999999">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399999999999999">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399999999999999">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399999999999999">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399999999999999">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399999999999999">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399999999999999">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399999999999999">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399999999999999">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399999999999999">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399999999999999">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399999999999999">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399999999999999">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399999999999999">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399999999999999">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399999999999999">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399999999999999">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399999999999999">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399999999999999">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399999999999999">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399999999999999">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399999999999999">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399999999999999">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399999999999999">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399999999999999">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399999999999999">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399999999999999">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399999999999999">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399999999999999">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399999999999999">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399999999999999">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399999999999999">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399999999999999">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399999999999999">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399999999999999">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399999999999999">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399999999999999">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399999999999999">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8"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2" thickTop="1">
      <c r="U2506" s="282"/>
      <c r="V2506" s="282"/>
      <c r="W2506" s="282"/>
      <c r="X2506" s="282"/>
      <c r="Y2506" s="282"/>
      <c r="Z2506" s="282"/>
    </row>
    <row r="2507" spans="1:28">
      <c r="U2507" s="282"/>
      <c r="V2507" s="282"/>
      <c r="W2507" s="282"/>
      <c r="X2507" s="282"/>
      <c r="Y2507" s="282"/>
      <c r="Z2507" s="282"/>
    </row>
    <row r="2508" spans="1:28" ht="13.2"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phoneticPr fontId="97"/>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1640625" defaultRowHeight="12.6"/>
  <cols>
    <col min="1" max="1" width="45.1796875" style="22" customWidth="1"/>
    <col min="2" max="2" width="42.81640625" style="25" customWidth="1"/>
    <col min="3" max="3" width="51.6328125" style="22" customWidth="1"/>
    <col min="4" max="4" width="29.1796875" style="25" customWidth="1"/>
    <col min="5" max="5" width="9" style="24" hidden="1" customWidth="1"/>
    <col min="6" max="6" width="13.6328125" style="22" hidden="1" customWidth="1"/>
    <col min="7" max="7" width="13.36328125" style="22" hidden="1" customWidth="1"/>
    <col min="8" max="8" width="9" style="22" hidden="1" customWidth="1"/>
    <col min="9" max="9" width="9" style="178" hidden="1" customWidth="1"/>
    <col min="10" max="10" width="48.81640625" style="22" hidden="1" customWidth="1"/>
    <col min="11" max="11" width="9" style="22" hidden="1" customWidth="1"/>
    <col min="12" max="14" width="8.81640625" style="22" hidden="1" customWidth="1"/>
    <col min="15" max="18" width="8.81640625" style="22" customWidth="1"/>
    <col min="19" max="16384" width="8.81640625" style="22"/>
  </cols>
  <sheetData>
    <row r="1" spans="1:10" ht="32.4">
      <c r="A1" s="444" t="str">
        <f ca="1">OFFSET(L!$C$1,MATCH("Checker"&amp;ADDRESS(ROW(),COLUMN(),4),L!$A:$A,0)-1,SL,,)</f>
        <v>To ensure all required fields have been populated before submitting to your customers review form for any line items highlighted in red</v>
      </c>
      <c r="B1" s="444"/>
      <c r="C1" s="444"/>
      <c r="D1" s="146" t="str">
        <f ca="1">OFFSET(L!$C$1,MATCH("Checker"&amp;ADDRESS(ROW(),COLUMN(),4),L!$A:$A,0)-1,SL,,)</f>
        <v>Required fields remaining to be completed</v>
      </c>
      <c r="E1" s="84" t="s">
        <v>827</v>
      </c>
    </row>
    <row r="2" spans="1:10" ht="16.2">
      <c r="A2" s="77" t="s">
        <v>921</v>
      </c>
      <c r="B2" s="78" t="str">
        <f>IF(F65=1,"Click here to return to Smelter List","")</f>
        <v/>
      </c>
      <c r="C2" s="150" t="str">
        <f>IF(F65=1,"Click here to return to Product List","")</f>
        <v/>
      </c>
      <c r="D2" s="183" t="str">
        <f ca="1">IF(H70=0,"0",H70)</f>
        <v>0</v>
      </c>
    </row>
    <row r="3" spans="1:10" ht="16.2">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Data Delay Devices</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Victor Lupi</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victorl@datadelay.com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973-773-2299 x123</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Victor Lupi</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victorl@datadelay.com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44043</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
      <c r="A13" s="102" t="str">
        <f ca="1">Declaration!B25</f>
        <v>1) Is any 3TG intentionally added or used in the product(s) or in the production process? (*)</v>
      </c>
      <c r="B13" s="105"/>
      <c r="C13" s="105"/>
      <c r="D13" s="109"/>
      <c r="E13" s="84" t="s">
        <v>831</v>
      </c>
      <c r="F13" s="106"/>
      <c r="G13" s="24"/>
      <c r="H13" s="83">
        <f t="shared" si="3"/>
        <v>0</v>
      </c>
    </row>
    <row r="14" spans="1:10" ht="26.4">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0.4">
      <c r="A18" s="102" t="str">
        <f ca="1">Declaration!B31</f>
        <v>2) Does any 3TG remain in the product(s)? (*)</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Yes</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7.799999999999997">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Yes</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7.799999999999997">
      <c r="A38" s="102" t="str">
        <f ca="1">Declaration!B55</f>
        <v>6) What percentage of relevant suppliers have provided a response to your supply chain survey?  (*)</v>
      </c>
      <c r="B38" s="105"/>
      <c r="C38" s="105"/>
      <c r="D38" s="109"/>
      <c r="E38" s="84" t="s">
        <v>828</v>
      </c>
      <c r="F38" s="106"/>
      <c r="G38" s="24"/>
      <c r="H38" s="24"/>
    </row>
    <row r="39" spans="1:10" ht="26.4">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4">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4">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4">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0.4">
      <c r="A43" s="102" t="str">
        <f ca="1">Declaration!B61</f>
        <v>7) Have you identified all of the smelters supplying the 3TG to your supply chain?  (*)</v>
      </c>
      <c r="B43" s="105"/>
      <c r="C43" s="105"/>
      <c r="D43" s="109"/>
      <c r="E43" s="84" t="s">
        <v>829</v>
      </c>
      <c r="F43" s="106"/>
      <c r="G43" s="24"/>
      <c r="H43" s="24"/>
    </row>
    <row r="44" spans="1:10" ht="51.6">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6">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6">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6">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2">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549999999999997"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0.4">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4.4"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IF(H65=0,"","Click here to provide smelter information")</f>
        <v/>
      </c>
      <c r="E65" s="84" t="s">
        <v>1330</v>
      </c>
      <c r="F65" s="107">
        <f>F24</f>
        <v>0</v>
      </c>
      <c r="G65" s="81">
        <f>IF(AND(COUNTIF(SmelterIdetifiedForMetal,"Tantalum")&gt;0,COUNTIF('Smelter List'!AB$5:AB$2504,"Tantalum?*")&gt;0),0,1)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1</v>
      </c>
      <c r="G66" s="81">
        <f>IF(AND(COUNTIF(SmelterIdetifiedForMetal,"Tin")&gt;0,COUNTIF('Smelter List'!AB$5:AB$2504,"Tin?*")&gt;0),0,1)</f>
        <v>0</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1</v>
      </c>
      <c r="G67" s="81">
        <f>IF(AND(COUNTIF(SmelterIdetifiedForMetal,"Gold")&gt;0,COUNTIF('Smelter List'!AB$5:AB$2504,"Gold?*")&gt;0),0,1)</f>
        <v>0</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0</v>
      </c>
      <c r="G68" s="81">
        <f>IF(AND(COUNTIF(SmelterIdetifiedForMetal,"Tungsten")&gt;0,COUNTIF('Smelter List'!AB$5:AB$2504,"Tungsten?*")&gt;0),0,1)</f>
        <v>1</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2">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2"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97"/>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1640625" defaultRowHeight="12.6"/>
  <cols>
    <col min="1" max="1" width="3.1796875" style="116" customWidth="1"/>
    <col min="2" max="2" width="39.81640625" style="117" customWidth="1"/>
    <col min="3" max="3" width="39.81640625" style="116" customWidth="1"/>
    <col min="4" max="4" width="58.81640625" style="116" customWidth="1"/>
    <col min="5" max="5" width="1.6328125" style="116" customWidth="1"/>
    <col min="6" max="6" width="9" customWidth="1"/>
    <col min="7" max="16384" width="8.81640625" style="26"/>
  </cols>
  <sheetData>
    <row r="1" spans="1:6" ht="35.1" customHeight="1" thickTop="1">
      <c r="A1" s="446" t="str">
        <f ca="1">OFFSET(L!$C$1,MATCH("Product List"&amp;ADDRESS(ROW(),COLUMN(),4),L!$A:$A,0)-1,SL,,)</f>
        <v>Completion required only if reporting level "Product (or List of Products)" selected on the 'Declaration' worksheet.</v>
      </c>
      <c r="B1" s="447"/>
      <c r="C1" s="447"/>
      <c r="D1" s="447"/>
      <c r="E1" s="145"/>
    </row>
    <row r="2" spans="1:6" ht="13.2">
      <c r="A2" s="29"/>
      <c r="B2" s="147"/>
      <c r="C2" s="147"/>
      <c r="D2"/>
      <c r="E2" s="30"/>
    </row>
    <row r="3" spans="1:6" ht="13.2">
      <c r="A3" s="29"/>
      <c r="B3" s="147"/>
      <c r="C3" s="147"/>
      <c r="D3" s="147"/>
      <c r="E3" s="30"/>
    </row>
    <row r="4" spans="1:6" ht="15.75" customHeight="1">
      <c r="A4" s="29"/>
      <c r="B4" s="445" t="s">
        <v>921</v>
      </c>
      <c r="C4" s="445"/>
      <c r="D4" s="445"/>
      <c r="E4" s="30"/>
    </row>
    <row r="5" spans="1:6" ht="1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35" customHeight="1" thickBot="1">
      <c r="A1001" s="159"/>
      <c r="B1001" s="448" t="str">
        <f ca="1">OFFSET(L!$C$1,MATCH("General"&amp;"Cpy",L!$A:$A,0)-1,SL,,)</f>
        <v>© 2020 Responsible Minerals Initiative. All rights reserved.</v>
      </c>
      <c r="C1001" s="448"/>
      <c r="D1001" s="448"/>
      <c r="E1001" s="31"/>
    </row>
    <row r="1002" spans="1:6" ht="13.2"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phoneticPr fontId="97"/>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1640625" defaultRowHeight="12.6"/>
  <cols>
    <col min="1" max="1" width="9.1796875" style="227" bestFit="1" customWidth="1"/>
    <col min="2" max="2" width="42.81640625" style="227" customWidth="1"/>
    <col min="3" max="3" width="63.81640625" style="227" customWidth="1"/>
    <col min="4" max="4" width="25.6328125" style="227" customWidth="1"/>
    <col min="5" max="5" width="12.6328125" style="227" customWidth="1"/>
    <col min="6" max="6" width="12.6328125" style="228" customWidth="1"/>
    <col min="7" max="7" width="15.36328125" style="227" customWidth="1"/>
    <col min="8" max="8" width="23.81640625" style="227" customWidth="1"/>
    <col min="9" max="9" width="28.1796875" style="227" customWidth="1"/>
    <col min="10" max="10" width="48.26953125" style="227" hidden="1" customWidth="1"/>
    <col min="11" max="11" width="49.7265625" style="227" hidden="1" customWidth="1"/>
    <col min="12" max="13" width="49.7265625" style="227" customWidth="1"/>
    <col min="14" max="16384" width="8.81640625" style="227"/>
  </cols>
  <sheetData>
    <row r="1" spans="1:16" ht="168.6" customHeight="1">
      <c r="A1" s="449"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9"/>
      <c r="C1" s="449"/>
      <c r="D1" s="449"/>
      <c r="E1" s="449"/>
      <c r="F1" s="449"/>
      <c r="G1" s="449"/>
    </row>
    <row r="2" spans="1:16">
      <c r="A2" s="450"/>
      <c r="B2" s="450"/>
      <c r="C2" s="450"/>
      <c r="D2" s="450"/>
      <c r="E2" s="450"/>
      <c r="F2" s="450"/>
      <c r="G2" s="450"/>
      <c r="H2" s="450"/>
      <c r="I2" s="450"/>
    </row>
    <row r="3" spans="1:16">
      <c r="A3" s="450"/>
      <c r="B3" s="450"/>
      <c r="C3" s="450"/>
      <c r="D3" s="450"/>
      <c r="E3" s="450"/>
      <c r="F3" s="450"/>
      <c r="G3" s="450"/>
      <c r="H3" s="450"/>
      <c r="I3" s="450"/>
    </row>
    <row r="4" spans="1:16" s="230" customFormat="1" ht="50.4">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2"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97"/>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1640625" defaultRowHeight="13.8"/>
  <cols>
    <col min="1" max="1" width="14.6328125" style="293" customWidth="1"/>
    <col min="2" max="2" width="14" style="293" customWidth="1"/>
    <col min="3" max="3" width="6.1796875" style="293" customWidth="1"/>
    <col min="4" max="4" width="56.26953125" style="293" customWidth="1"/>
    <col min="5" max="5" width="53.7265625" style="288" customWidth="1"/>
    <col min="6" max="6" width="54.1796875" style="293" customWidth="1"/>
    <col min="7" max="7" width="68.26953125" style="293" customWidth="1"/>
    <col min="8" max="8" width="49.26953125" style="293" customWidth="1"/>
    <col min="9" max="9" width="51.6328125" style="293" customWidth="1"/>
    <col min="10" max="10" width="50.26953125" style="293" customWidth="1"/>
    <col min="11" max="11" width="51.81640625" style="255" customWidth="1"/>
    <col min="12" max="12" width="66.81640625" style="326" customWidth="1"/>
    <col min="13" max="13" width="46.1796875" style="187" customWidth="1"/>
    <col min="14" max="15" width="8.81640625" style="187" customWidth="1"/>
    <col min="16" max="16384" width="8.8164062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2.8">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45">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1.4">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7.6">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6">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41.4">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1.4">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1.4">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41.4">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69">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27.6">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82.8">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27.6">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69">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1.4">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1.4">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38.6">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13.4">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6">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41.4">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360">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14.2">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43.6">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15.2">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15.2">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1.4">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57.6">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96.6">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10.4">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00.8">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358.8">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01.6">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187.2">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86.4">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1.4">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7.6">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86.4">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69">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5.2">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38">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2.8">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82.8">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10.4">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69">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3.2">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3.2">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0.4">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17.39999999999998">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82.8">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79.4">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193.2">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15.2">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41.4">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193.2">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27.6">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03.60000000000002">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51.80000000000001">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38">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289.8">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96.6">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41.4">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69">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7.6">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1.4">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7.6">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7.6">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7.6">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7.6">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7.6">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7.6">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5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7.6">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7.6">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7.6">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7.6">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2.8">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76.4">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24.2">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51.80000000000001">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69">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38">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10.4">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38">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6">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20.8">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10.4">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17.39999999999998">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07">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7.6">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69">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7.6">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51.80000000000001">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96.6">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276">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48.4">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7.6">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38">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82.8">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07">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193.2">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179.4">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7.6">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7.6">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41.4">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43.2">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5.2">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7.6">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7.6">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7.6">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7.6">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27.6">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28.8">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14.4">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0.4">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7.799999999999997">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37.799999999999997">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28.8">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28.8">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7.799999999999997">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7.6">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69">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0.4">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37.799999999999997">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28.8">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1.4">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27.6">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28.8">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14.4">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14.4">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14.4">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14.4">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14.4">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14.4">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14.4">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14.4">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14.4">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7.6">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7.6">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7.6">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7.6">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7.6">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7.6">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7.6">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1.4">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1.4">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5.2">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27.6">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1.4">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6">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5.2">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7.6">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27.6">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7.6">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7.6">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27.6">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7.6">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1.4">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41.4">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27.6">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1.4">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1.4">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27.6">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1.4">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5.2">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5.2">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5.2">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5.2">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69">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69">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69">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69">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55.2">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55.2">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55.2">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55.2">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55.2">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55.2">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55.2">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55.2">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41.4">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5.2">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5.2">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5.2">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1.4">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1.4">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1.4">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1.4">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5.2">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55.2">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5.2">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82.8">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41.4">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41.4">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1.4">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41.4">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41.4">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41.4">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7.6">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2.8">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7.6">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7.6">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69">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7.6">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27.6">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69">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97"/>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03DEE780-EC47-41FC-861F-1BDFE6C5F8C3}">
  <ds:schemaRefs>
    <ds:schemaRef ds:uri="http://purl.org/dc/elements/1.1/"/>
    <ds:schemaRef ds:uri="http://purl.org/dc/term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060324a1-f66f-4c36-a8ec-beadbf2f4219"/>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Victor Lupi</cp:lastModifiedBy>
  <cp:lastPrinted>2015-04-21T20:47:43Z</cp:lastPrinted>
  <dcterms:created xsi:type="dcterms:W3CDTF">2010-06-21T21:00:23Z</dcterms:created>
  <dcterms:modified xsi:type="dcterms:W3CDTF">2020-07-31T13:13:59Z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